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s273689" algorithmName="SHA-512" hashValue="/SMy26D/s+b0u9Gpd6px/DVx5n3ZLRxj1YIoR5Idkls8RfERcMBtlIArLji+e0N8ywW/602/TAcvmPDaThSNkg==" saltValue="+duaf3rARtvkAUjOmmAXFQ==" spinCount="100000"/>
  <workbookPr filterPrivacy="1" codeName="ThisWorkbook" defaultThemeVersion="124226"/>
  <xr:revisionPtr revIDLastSave="0" documentId="8_{EAC23F61-6C4F-415A-AA97-68AC4E864769}"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B-3-A - Remeas Suprt" sheetId="43"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K TRUE-UP RTEP RR" sheetId="13" r:id="rId16"/>
    <sheet name="WS J PROJECTED RTEP RR" sheetId="20" state="hidden"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 name="WS R Interest (2)" sheetId="41" r:id="rId25"/>
  </sheet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#REF!</definedName>
    <definedName name="APCO">#REF!</definedName>
    <definedName name="APCo_Hist_Allocators" localSheetId="20">#REF!</definedName>
    <definedName name="APCo_Hist_Allocators" localSheetId="1">#REF!</definedName>
    <definedName name="APCo_Hist_Allocators" localSheetId="13">#REF!</definedName>
    <definedName name="APCo_Hist_Allocators" localSheetId="18">#REF!</definedName>
    <definedName name="APCo_Hist_Allocators">TCOS!#REF!</definedName>
    <definedName name="APCo_Proj_Allocators" localSheetId="13">#REF!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#REF!</definedName>
    <definedName name="IM_Allocators" localSheetId="1">#REF!</definedName>
    <definedName name="IM_Allocators" localSheetId="13">#REF!</definedName>
    <definedName name="IM_Allocators" localSheetId="18">#REF!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#REF!</definedName>
    <definedName name="M_A" localSheetId="1">#REF!</definedName>
    <definedName name="M_A" localSheetId="13">#REF!</definedName>
    <definedName name="M_A" localSheetId="18">#REF!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#REF!</definedName>
    <definedName name="NP_h" localSheetId="1">#REF!</definedName>
    <definedName name="NP_h" localSheetId="13">#REF!</definedName>
    <definedName name="NP_h" localSheetId="18">#REF!</definedName>
    <definedName name="NP_h">TCOS!$J$82</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Exp'!$A$3:$G$74</definedName>
    <definedName name="_xlnm.Print_Area" localSheetId="11">'WS G  State Tax Rate'!$A$3:$H$34</definedName>
    <definedName name="_xlnm.Print_Area" localSheetId="12">'WS H-p1 Other Taxes'!$A$1:$M$71</definedName>
    <definedName name="_xlnm.Print_Area" localSheetId="13">'WS H-p2 Detail of Tax Amts'!$A$1:$I$113</definedName>
    <definedName name="_xlnm.Print_Area" localSheetId="14">'WS I RESERVED'!$A$1:$J$13</definedName>
    <definedName name="_xlnm.Print_Area" localSheetId="16">'WS J PROJECTED RTEP RR'!$A$1:$O$2060</definedName>
    <definedName name="_xlnm.Print_Area" localSheetId="15">'WS K TRUE-UP RTEP RR'!$A$1:$P$1994</definedName>
    <definedName name="_xlnm.Print_Area" localSheetId="17">'WS L RESERVED'!$A$3:$F$9</definedName>
    <definedName name="_xlnm.Print_Area" localSheetId="19">'WS N - Sale of Plant Held'!$A$3:$U$35</definedName>
    <definedName name="_xlnm.Print_Area" localSheetId="21">'WS P Dep. Rates'!$A$1:$F$49</definedName>
    <definedName name="_xlnm.Print_Area" localSheetId="22">'WS Q Cap Structure'!$A$1:$J$237</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6" hidden="1">'WS J PROJECTED RTEP RR'!$A$3:$O$83</definedName>
    <definedName name="Z_C5140E12_E05E_4473_9142_42F37320A417_.wvu.PrintTitles" localSheetId="13"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6" l="1"/>
  <c r="K42" i="6" s="1"/>
  <c r="I41" i="6"/>
  <c r="K41" i="6" s="1"/>
  <c r="E41" i="6" s="1"/>
  <c r="I40" i="6"/>
  <c r="K40" i="6" s="1"/>
  <c r="I66" i="6"/>
  <c r="K66" i="6" s="1"/>
  <c r="E66" i="6" s="1"/>
  <c r="I65" i="6"/>
  <c r="K65" i="6" s="1"/>
  <c r="E65" i="6" s="1"/>
  <c r="I64" i="6"/>
  <c r="K64" i="6" s="1"/>
  <c r="E64" i="6" s="1"/>
  <c r="E40" i="6" l="1"/>
  <c r="E42" i="6"/>
  <c r="D16" i="40" l="1"/>
  <c r="C75" i="36" l="1"/>
  <c r="D75" i="36"/>
  <c r="C24" i="37"/>
  <c r="I24" i="37"/>
  <c r="K24" i="37"/>
  <c r="C25" i="37"/>
  <c r="I25" i="37"/>
  <c r="K25" i="37"/>
  <c r="C26" i="37"/>
  <c r="I26" i="37"/>
  <c r="K26" i="37"/>
  <c r="C27" i="37"/>
  <c r="I27" i="37"/>
  <c r="K27" i="37"/>
  <c r="C28" i="37"/>
  <c r="I28" i="37"/>
  <c r="K28" i="37"/>
  <c r="C29" i="37"/>
  <c r="I29" i="37"/>
  <c r="K29" i="37"/>
  <c r="C30" i="37"/>
  <c r="I30" i="37"/>
  <c r="K30" i="37"/>
  <c r="C31" i="37"/>
  <c r="I31" i="37"/>
  <c r="K31" i="37"/>
  <c r="C32" i="37"/>
  <c r="I32" i="37"/>
  <c r="K32" i="37"/>
  <c r="C33" i="37"/>
  <c r="I33" i="37"/>
  <c r="K33" i="37"/>
  <c r="C34" i="37"/>
  <c r="I34" i="37"/>
  <c r="K34" i="37"/>
  <c r="C35" i="37"/>
  <c r="I35" i="37"/>
  <c r="K35" i="37"/>
  <c r="C36" i="37"/>
  <c r="I36" i="37"/>
  <c r="K36" i="37"/>
  <c r="C37" i="37"/>
  <c r="I37" i="37"/>
  <c r="K37" i="37"/>
  <c r="C38" i="37"/>
  <c r="I38" i="37"/>
  <c r="K38" i="37"/>
  <c r="C39" i="37"/>
  <c r="I39" i="37"/>
  <c r="K39" i="37"/>
  <c r="C40" i="37"/>
  <c r="D40" i="37"/>
  <c r="I40" i="37"/>
  <c r="J40" i="37"/>
  <c r="K40" i="37"/>
  <c r="C41" i="37"/>
  <c r="D41" i="37"/>
  <c r="I41" i="37"/>
  <c r="J41" i="37"/>
  <c r="K41" i="37"/>
  <c r="D39" i="37"/>
  <c r="J38" i="37"/>
  <c r="J37" i="37"/>
  <c r="D36" i="37"/>
  <c r="D35" i="37"/>
  <c r="J34" i="37"/>
  <c r="J33" i="37"/>
  <c r="D32" i="37"/>
  <c r="D31" i="37"/>
  <c r="J30" i="37"/>
  <c r="J29" i="37"/>
  <c r="D28" i="37"/>
  <c r="D27" i="37"/>
  <c r="J26" i="37"/>
  <c r="J25" i="37"/>
  <c r="D24" i="37"/>
  <c r="G75" i="36" l="1"/>
  <c r="G40" i="37"/>
  <c r="G28" i="37"/>
  <c r="G36" i="37"/>
  <c r="G24" i="37"/>
  <c r="G32" i="37"/>
  <c r="J31" i="37"/>
  <c r="G39" i="37"/>
  <c r="D34" i="37"/>
  <c r="G34" i="37" s="1"/>
  <c r="J27" i="37"/>
  <c r="D25" i="37"/>
  <c r="G25" i="37" s="1"/>
  <c r="J35" i="37"/>
  <c r="D29" i="37"/>
  <c r="G29" i="37" s="1"/>
  <c r="G41" i="37"/>
  <c r="J39" i="37"/>
  <c r="D37" i="37"/>
  <c r="G37" i="37" s="1"/>
  <c r="D33" i="37"/>
  <c r="G33" i="37" s="1"/>
  <c r="G27" i="37"/>
  <c r="G35" i="37"/>
  <c r="G31" i="37"/>
  <c r="D38" i="37"/>
  <c r="G38" i="37" s="1"/>
  <c r="D30" i="37"/>
  <c r="G30" i="37" s="1"/>
  <c r="D26" i="37"/>
  <c r="G26" i="37" s="1"/>
  <c r="J36" i="37"/>
  <c r="J32" i="37"/>
  <c r="J28" i="37"/>
  <c r="J24" i="37"/>
  <c r="I63" i="6" l="1"/>
  <c r="K63" i="6" s="1"/>
  <c r="E63" i="6" l="1"/>
  <c r="E40" i="9" l="1"/>
  <c r="E36" i="9"/>
  <c r="D18" i="40" l="1"/>
  <c r="R71" i="36"/>
  <c r="R77" i="36" s="1"/>
  <c r="J45" i="36"/>
  <c r="F21" i="43"/>
  <c r="D18" i="43"/>
  <c r="D19" i="43" s="1"/>
  <c r="D21" i="43" s="1"/>
  <c r="L15" i="43"/>
  <c r="O15" i="43" s="1"/>
  <c r="H15" i="43"/>
  <c r="J13" i="43"/>
  <c r="L13" i="43" s="1"/>
  <c r="O13" i="43" s="1"/>
  <c r="H13" i="43"/>
  <c r="D30" i="40"/>
  <c r="D23" i="40"/>
  <c r="G26" i="5"/>
  <c r="E68" i="9"/>
  <c r="E69" i="9"/>
  <c r="F70" i="9"/>
  <c r="F73" i="9" s="1"/>
  <c r="G145" i="2" s="1"/>
  <c r="L145" i="2" s="1"/>
  <c r="E71" i="9"/>
  <c r="E67" i="9"/>
  <c r="E49" i="9"/>
  <c r="E50" i="9"/>
  <c r="E51" i="9"/>
  <c r="E52" i="9"/>
  <c r="E48" i="9"/>
  <c r="E37" i="9"/>
  <c r="E38" i="9"/>
  <c r="F39" i="9"/>
  <c r="F44" i="9" s="1"/>
  <c r="G143" i="2" s="1"/>
  <c r="L42" i="2"/>
  <c r="J21" i="8"/>
  <c r="J19" i="8"/>
  <c r="I39" i="6"/>
  <c r="K39" i="6" s="1"/>
  <c r="E39" i="6" s="1"/>
  <c r="D66" i="36"/>
  <c r="D65" i="36"/>
  <c r="D49" i="36"/>
  <c r="D48" i="36"/>
  <c r="D46" i="37"/>
  <c r="D44" i="37"/>
  <c r="K42" i="37"/>
  <c r="I42" i="37"/>
  <c r="C42" i="37"/>
  <c r="E43" i="37" s="1"/>
  <c r="C43" i="37" s="1"/>
  <c r="K63" i="36"/>
  <c r="I63" i="36"/>
  <c r="C63" i="36"/>
  <c r="E64" i="36" s="1"/>
  <c r="K45" i="36"/>
  <c r="I45" i="36"/>
  <c r="C45" i="36"/>
  <c r="E46" i="36" s="1"/>
  <c r="C46" i="36" s="1"/>
  <c r="N71" i="36"/>
  <c r="N77" i="36" s="1"/>
  <c r="N52" i="36"/>
  <c r="L43" i="2"/>
  <c r="K41" i="36"/>
  <c r="J41" i="36"/>
  <c r="I41" i="36"/>
  <c r="D41" i="36"/>
  <c r="C41" i="36"/>
  <c r="K39" i="36"/>
  <c r="J39" i="36"/>
  <c r="I39" i="36"/>
  <c r="D39" i="36"/>
  <c r="C39" i="36"/>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C39" i="41"/>
  <c r="C40" i="41" s="1"/>
  <c r="C41" i="41" s="1"/>
  <c r="C42" i="41" s="1"/>
  <c r="C43" i="41" s="1"/>
  <c r="C44" i="41" s="1"/>
  <c r="C45" i="41" s="1"/>
  <c r="C46" i="41" s="1"/>
  <c r="C47" i="41" s="1"/>
  <c r="C48" i="41" s="1"/>
  <c r="C49" i="41" s="1"/>
  <c r="C50" i="41" s="1"/>
  <c r="C36" i="41"/>
  <c r="C21" i="41"/>
  <c r="C22" i="41" s="1"/>
  <c r="C23" i="41" s="1"/>
  <c r="C24" i="41" s="1"/>
  <c r="C25" i="41" s="1"/>
  <c r="C26" i="41" s="1"/>
  <c r="C27" i="41" s="1"/>
  <c r="C28" i="41" s="1"/>
  <c r="C29" i="41" s="1"/>
  <c r="C30" i="41" s="1"/>
  <c r="C31" i="41" s="1"/>
  <c r="C32" i="41" s="1"/>
  <c r="B8" i="41"/>
  <c r="B8" i="35"/>
  <c r="E42" i="5"/>
  <c r="G42" i="5"/>
  <c r="E34" i="5"/>
  <c r="G34" i="5"/>
  <c r="E26" i="5"/>
  <c r="G18" i="5"/>
  <c r="E18" i="5"/>
  <c r="E46" i="32"/>
  <c r="D45" i="32"/>
  <c r="C45" i="32"/>
  <c r="E44" i="32"/>
  <c r="A44" i="32"/>
  <c r="A45" i="32" s="1"/>
  <c r="A46" i="32" s="1"/>
  <c r="A47" i="32" s="1"/>
  <c r="E43" i="32"/>
  <c r="O1909" i="13"/>
  <c r="O1987" i="13"/>
  <c r="M1987" i="13"/>
  <c r="O1986" i="13"/>
  <c r="M1986" i="13"/>
  <c r="O1985" i="13"/>
  <c r="M1985" i="13"/>
  <c r="O1984" i="13"/>
  <c r="M1984" i="13"/>
  <c r="O1983" i="13"/>
  <c r="M1983" i="13"/>
  <c r="O1982" i="13"/>
  <c r="M1982" i="13"/>
  <c r="O1981" i="13"/>
  <c r="M1981" i="13"/>
  <c r="O1980" i="13"/>
  <c r="M1980" i="13"/>
  <c r="O1979" i="13"/>
  <c r="M1979" i="13"/>
  <c r="O1978" i="13"/>
  <c r="M1978" i="13"/>
  <c r="O1977" i="13"/>
  <c r="M1977" i="13"/>
  <c r="O1976" i="13"/>
  <c r="M1976" i="13"/>
  <c r="O1975" i="13"/>
  <c r="M1975" i="13"/>
  <c r="O1974" i="13"/>
  <c r="M1974" i="13"/>
  <c r="O1973" i="13"/>
  <c r="M1973" i="13"/>
  <c r="O1972" i="13"/>
  <c r="M1972" i="13"/>
  <c r="O1971" i="13"/>
  <c r="M1971" i="13"/>
  <c r="O1970" i="13"/>
  <c r="M1970" i="13"/>
  <c r="O1969" i="13"/>
  <c r="M1969" i="13"/>
  <c r="O1968" i="13"/>
  <c r="M1968" i="13"/>
  <c r="O1967" i="13"/>
  <c r="M1967" i="13"/>
  <c r="O1966" i="13"/>
  <c r="M1966" i="13"/>
  <c r="O1965" i="13"/>
  <c r="M1965" i="13"/>
  <c r="O1964" i="13"/>
  <c r="M1964" i="13"/>
  <c r="O1963" i="13"/>
  <c r="M1963" i="13"/>
  <c r="O1962" i="13"/>
  <c r="M1962" i="13"/>
  <c r="O1961" i="13"/>
  <c r="M1961" i="13"/>
  <c r="O1960" i="13"/>
  <c r="M1960" i="13"/>
  <c r="O1959" i="13"/>
  <c r="M1959" i="13"/>
  <c r="O1958" i="13"/>
  <c r="M1958" i="13"/>
  <c r="O1957" i="13"/>
  <c r="M1957" i="13"/>
  <c r="O1956" i="13"/>
  <c r="M1956" i="13"/>
  <c r="O1955" i="13"/>
  <c r="M1955" i="13"/>
  <c r="O1954" i="13"/>
  <c r="M1954" i="13"/>
  <c r="O1953" i="13"/>
  <c r="M1953" i="13"/>
  <c r="O1952" i="13"/>
  <c r="M1952" i="13"/>
  <c r="O1951" i="13"/>
  <c r="M1951" i="13"/>
  <c r="O1950" i="13"/>
  <c r="M1950" i="13"/>
  <c r="O1949" i="13"/>
  <c r="M1949" i="13"/>
  <c r="O1948" i="13"/>
  <c r="M1948" i="13"/>
  <c r="O1947" i="13"/>
  <c r="M1947" i="13"/>
  <c r="O1946" i="13"/>
  <c r="M1946" i="13"/>
  <c r="O1945" i="13"/>
  <c r="M1945" i="13"/>
  <c r="O1944" i="13"/>
  <c r="M1944" i="13"/>
  <c r="O1943" i="13"/>
  <c r="M1943" i="13"/>
  <c r="O1942" i="13"/>
  <c r="M1942" i="13"/>
  <c r="O1941" i="13"/>
  <c r="M1941" i="13"/>
  <c r="O1940" i="13"/>
  <c r="M1940" i="13"/>
  <c r="O1939" i="13"/>
  <c r="M1939" i="13"/>
  <c r="O1938" i="13"/>
  <c r="M1938" i="13"/>
  <c r="O1937" i="13"/>
  <c r="M1937" i="13"/>
  <c r="O1936" i="13"/>
  <c r="M1936" i="13"/>
  <c r="O1935" i="13"/>
  <c r="M1935" i="13"/>
  <c r="O1934" i="13"/>
  <c r="M1934" i="13"/>
  <c r="O1933" i="13"/>
  <c r="M1933" i="13"/>
  <c r="D1928" i="13"/>
  <c r="C1928" i="13"/>
  <c r="C1929" i="13" s="1"/>
  <c r="C1930" i="13" s="1"/>
  <c r="C1931" i="13" s="1"/>
  <c r="C1932" i="13" s="1"/>
  <c r="C1933" i="13" s="1"/>
  <c r="C1934" i="13" s="1"/>
  <c r="C1935" i="13" s="1"/>
  <c r="C1936" i="13" s="1"/>
  <c r="C1937" i="13" s="1"/>
  <c r="C1938" i="13" s="1"/>
  <c r="C1939" i="13" s="1"/>
  <c r="C1940" i="13" s="1"/>
  <c r="C1941" i="13" s="1"/>
  <c r="C1942" i="13" s="1"/>
  <c r="C1943" i="13" s="1"/>
  <c r="C1944" i="13" s="1"/>
  <c r="C1945" i="13" s="1"/>
  <c r="C1946" i="13" s="1"/>
  <c r="C1947" i="13" s="1"/>
  <c r="C1948" i="13" s="1"/>
  <c r="C1949" i="13" s="1"/>
  <c r="C1950" i="13" s="1"/>
  <c r="C1951" i="13" s="1"/>
  <c r="C1952" i="13" s="1"/>
  <c r="C1953" i="13" s="1"/>
  <c r="C1954" i="13" s="1"/>
  <c r="C1955" i="13" s="1"/>
  <c r="C1956" i="13" s="1"/>
  <c r="C1957" i="13" s="1"/>
  <c r="C1958" i="13" s="1"/>
  <c r="C1959" i="13" s="1"/>
  <c r="C1960" i="13" s="1"/>
  <c r="C1961" i="13" s="1"/>
  <c r="C1962" i="13" s="1"/>
  <c r="C1963" i="13" s="1"/>
  <c r="C1964" i="13" s="1"/>
  <c r="C1965" i="13" s="1"/>
  <c r="C1966" i="13" s="1"/>
  <c r="C1967" i="13" s="1"/>
  <c r="C1968" i="13" s="1"/>
  <c r="C1969" i="13" s="1"/>
  <c r="C1970" i="13" s="1"/>
  <c r="C1971" i="13" s="1"/>
  <c r="C1972" i="13" s="1"/>
  <c r="C1973" i="13" s="1"/>
  <c r="C1974" i="13" s="1"/>
  <c r="C1975" i="13" s="1"/>
  <c r="C1976" i="13" s="1"/>
  <c r="C1977" i="13" s="1"/>
  <c r="C1978" i="13" s="1"/>
  <c r="C1979" i="13" s="1"/>
  <c r="C1980" i="13" s="1"/>
  <c r="C1981" i="13" s="1"/>
  <c r="C1982" i="13" s="1"/>
  <c r="C1983" i="13" s="1"/>
  <c r="C1984" i="13" s="1"/>
  <c r="C1985" i="13" s="1"/>
  <c r="C1986" i="13" s="1"/>
  <c r="C1987" i="13" s="1"/>
  <c r="L1923" i="13"/>
  <c r="J1922" i="13"/>
  <c r="J1921" i="13"/>
  <c r="L1915" i="13" s="1"/>
  <c r="P1909" i="13"/>
  <c r="A1909" i="13"/>
  <c r="J1834" i="13"/>
  <c r="J1747" i="13"/>
  <c r="J1660" i="13"/>
  <c r="J1573" i="13"/>
  <c r="L1567" i="13" s="1"/>
  <c r="J1486" i="13"/>
  <c r="L1480" i="13" s="1"/>
  <c r="J1399" i="13"/>
  <c r="L1393" i="13" s="1"/>
  <c r="J1312" i="13"/>
  <c r="L1306" i="13" s="1"/>
  <c r="J1225" i="13"/>
  <c r="J1138" i="13"/>
  <c r="L1132" i="13" s="1"/>
  <c r="J1051" i="13"/>
  <c r="L1045" i="13" s="1"/>
  <c r="J964" i="13"/>
  <c r="L958" i="13" s="1"/>
  <c r="J877" i="13"/>
  <c r="L871" i="13" s="1"/>
  <c r="J790" i="13"/>
  <c r="L784" i="13" s="1"/>
  <c r="J703" i="13"/>
  <c r="L697" i="13" s="1"/>
  <c r="J616" i="13"/>
  <c r="L610" i="13" s="1"/>
  <c r="J529" i="13"/>
  <c r="L523" i="13" s="1"/>
  <c r="J442" i="13"/>
  <c r="L436" i="13" s="1"/>
  <c r="J355" i="13"/>
  <c r="L349" i="13" s="1"/>
  <c r="J268" i="13"/>
  <c r="L262" i="13" s="1"/>
  <c r="J180" i="13"/>
  <c r="L174" i="13" s="1"/>
  <c r="O27" i="42"/>
  <c r="N27" i="42"/>
  <c r="L27" i="42"/>
  <c r="K27" i="42"/>
  <c r="B27" i="42"/>
  <c r="P24" i="42"/>
  <c r="M27" i="42"/>
  <c r="P23" i="42"/>
  <c r="P19" i="42"/>
  <c r="Q18" i="42"/>
  <c r="P17" i="42"/>
  <c r="P16" i="42"/>
  <c r="Q15" i="42"/>
  <c r="Q14" i="42"/>
  <c r="P13" i="42"/>
  <c r="F64" i="9"/>
  <c r="G144" i="2" s="1"/>
  <c r="C58" i="36"/>
  <c r="D58" i="36"/>
  <c r="I58" i="36"/>
  <c r="J58" i="36"/>
  <c r="K58" i="36"/>
  <c r="C59" i="36"/>
  <c r="D59" i="36"/>
  <c r="I59" i="36"/>
  <c r="J59" i="36"/>
  <c r="K59" i="36"/>
  <c r="C60" i="36"/>
  <c r="D60" i="36"/>
  <c r="I60" i="36"/>
  <c r="J60" i="36"/>
  <c r="K60" i="36"/>
  <c r="A58" i="36"/>
  <c r="A59" i="36" s="1"/>
  <c r="A60" i="36" s="1"/>
  <c r="A61" i="36" s="1"/>
  <c r="A62" i="36" s="1"/>
  <c r="A63" i="36" s="1"/>
  <c r="C29" i="36"/>
  <c r="D29" i="36"/>
  <c r="I29" i="36"/>
  <c r="J29" i="36"/>
  <c r="K29" i="36"/>
  <c r="C30" i="36"/>
  <c r="D30" i="36"/>
  <c r="I30" i="36"/>
  <c r="J30" i="36"/>
  <c r="K30" i="36"/>
  <c r="C31" i="36"/>
  <c r="D31" i="36"/>
  <c r="I31" i="36"/>
  <c r="J31" i="36"/>
  <c r="K31" i="36"/>
  <c r="C32" i="36"/>
  <c r="D32" i="36"/>
  <c r="I32" i="36"/>
  <c r="J32" i="36"/>
  <c r="K32" i="36"/>
  <c r="C33" i="36"/>
  <c r="D33" i="36"/>
  <c r="I33" i="36"/>
  <c r="J33" i="36"/>
  <c r="K33"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C45" i="37"/>
  <c r="D45" i="37"/>
  <c r="C46" i="37"/>
  <c r="C47" i="37"/>
  <c r="D47" i="37"/>
  <c r="C48" i="37"/>
  <c r="D48" i="37"/>
  <c r="C49" i="37"/>
  <c r="D49" i="37"/>
  <c r="C44" i="37"/>
  <c r="K50" i="37"/>
  <c r="J50" i="37"/>
  <c r="I50" i="37"/>
  <c r="D50" i="37"/>
  <c r="C50" i="37"/>
  <c r="C65" i="36"/>
  <c r="C66" i="36"/>
  <c r="C67" i="36"/>
  <c r="D67" i="36"/>
  <c r="C68" i="36"/>
  <c r="D68" i="36"/>
  <c r="C48" i="36"/>
  <c r="C49" i="36"/>
  <c r="D47" i="36"/>
  <c r="C47" i="36"/>
  <c r="O1900" i="13"/>
  <c r="M1900" i="13"/>
  <c r="O1899" i="13"/>
  <c r="M1899" i="13"/>
  <c r="O1898" i="13"/>
  <c r="M1898" i="13"/>
  <c r="O1897" i="13"/>
  <c r="M1897" i="13"/>
  <c r="O1896" i="13"/>
  <c r="M1896" i="13"/>
  <c r="O1895" i="13"/>
  <c r="M1895" i="13"/>
  <c r="O1894" i="13"/>
  <c r="M1894" i="13"/>
  <c r="O1893" i="13"/>
  <c r="M1893" i="13"/>
  <c r="O1892" i="13"/>
  <c r="M1892" i="13"/>
  <c r="O1891" i="13"/>
  <c r="M1891" i="13"/>
  <c r="O1890" i="13"/>
  <c r="M1890" i="13"/>
  <c r="O1889" i="13"/>
  <c r="M1889" i="13"/>
  <c r="O1888" i="13"/>
  <c r="M1888" i="13"/>
  <c r="O1887" i="13"/>
  <c r="M1887" i="13"/>
  <c r="O1886" i="13"/>
  <c r="M1886" i="13"/>
  <c r="O1885" i="13"/>
  <c r="M1885" i="13"/>
  <c r="O1884" i="13"/>
  <c r="M1884" i="13"/>
  <c r="O1883" i="13"/>
  <c r="M1883" i="13"/>
  <c r="O1882" i="13"/>
  <c r="M1882" i="13"/>
  <c r="O1881" i="13"/>
  <c r="M1881" i="13"/>
  <c r="O1880" i="13"/>
  <c r="M1880" i="13"/>
  <c r="O1879" i="13"/>
  <c r="M1879" i="13"/>
  <c r="O1878" i="13"/>
  <c r="M1878" i="13"/>
  <c r="O1877" i="13"/>
  <c r="M1877" i="13"/>
  <c r="O1876" i="13"/>
  <c r="M1876" i="13"/>
  <c r="O1875" i="13"/>
  <c r="M1875" i="13"/>
  <c r="O1874" i="13"/>
  <c r="M1874" i="13"/>
  <c r="O1873" i="13"/>
  <c r="M1873" i="13"/>
  <c r="O1872" i="13"/>
  <c r="M1872" i="13"/>
  <c r="O1871" i="13"/>
  <c r="M1871" i="13"/>
  <c r="O1870" i="13"/>
  <c r="M1870" i="13"/>
  <c r="O1869" i="13"/>
  <c r="M1869" i="13"/>
  <c r="O1868" i="13"/>
  <c r="M1868" i="13"/>
  <c r="O1867" i="13"/>
  <c r="M1867" i="13"/>
  <c r="O1866" i="13"/>
  <c r="M1866" i="13"/>
  <c r="O1865" i="13"/>
  <c r="M1865" i="13"/>
  <c r="O1864" i="13"/>
  <c r="M1864" i="13"/>
  <c r="O1863" i="13"/>
  <c r="M1863" i="13"/>
  <c r="O1862" i="13"/>
  <c r="M1862" i="13"/>
  <c r="O1861" i="13"/>
  <c r="M1861" i="13"/>
  <c r="O1860" i="13"/>
  <c r="M1860" i="13"/>
  <c r="O1859" i="13"/>
  <c r="M1859" i="13"/>
  <c r="O1858" i="13"/>
  <c r="M1858" i="13"/>
  <c r="O1857" i="13"/>
  <c r="M1857" i="13"/>
  <c r="O1856" i="13"/>
  <c r="M1856" i="13"/>
  <c r="O1855" i="13"/>
  <c r="M1855" i="13"/>
  <c r="O1854" i="13"/>
  <c r="M1854" i="13"/>
  <c r="O1853" i="13"/>
  <c r="M1853" i="13"/>
  <c r="O1852" i="13"/>
  <c r="M1852" i="13"/>
  <c r="O1851" i="13"/>
  <c r="M1851" i="13"/>
  <c r="O1850" i="13"/>
  <c r="M1850" i="13"/>
  <c r="O1849" i="13"/>
  <c r="M1849" i="13"/>
  <c r="O1848" i="13"/>
  <c r="M1848" i="13"/>
  <c r="D1841" i="13"/>
  <c r="C1841" i="13"/>
  <c r="C1842" i="13" s="1"/>
  <c r="C1843" i="13" s="1"/>
  <c r="C1844" i="13" s="1"/>
  <c r="C1845" i="13" s="1"/>
  <c r="C1846" i="13" s="1"/>
  <c r="C1847" i="13" s="1"/>
  <c r="C1848" i="13" s="1"/>
  <c r="C1849" i="13" s="1"/>
  <c r="C1850" i="13" s="1"/>
  <c r="C1851" i="13" s="1"/>
  <c r="C1852" i="13" s="1"/>
  <c r="C1853" i="13" s="1"/>
  <c r="C1854" i="13" s="1"/>
  <c r="C1855" i="13" s="1"/>
  <c r="C1856" i="13" s="1"/>
  <c r="C1857" i="13" s="1"/>
  <c r="C1858" i="13" s="1"/>
  <c r="C1859" i="13" s="1"/>
  <c r="C1860" i="13" s="1"/>
  <c r="C1861" i="13" s="1"/>
  <c r="C1862" i="13" s="1"/>
  <c r="C1863" i="13" s="1"/>
  <c r="C1864" i="13" s="1"/>
  <c r="C1865" i="13" s="1"/>
  <c r="C1866" i="13" s="1"/>
  <c r="C1867" i="13" s="1"/>
  <c r="C1868" i="13" s="1"/>
  <c r="C1869" i="13" s="1"/>
  <c r="C1870" i="13" s="1"/>
  <c r="L1836" i="13"/>
  <c r="J1835" i="13"/>
  <c r="P1822" i="13"/>
  <c r="O1822" i="13"/>
  <c r="A1822" i="13"/>
  <c r="O1813" i="13"/>
  <c r="M1813" i="13"/>
  <c r="O1812" i="13"/>
  <c r="M1812" i="13"/>
  <c r="O1811" i="13"/>
  <c r="M1811" i="13"/>
  <c r="O1810" i="13"/>
  <c r="M1810" i="13"/>
  <c r="O1809" i="13"/>
  <c r="M1809" i="13"/>
  <c r="O1808" i="13"/>
  <c r="M1808" i="13"/>
  <c r="O1807" i="13"/>
  <c r="M1807" i="13"/>
  <c r="O1806" i="13"/>
  <c r="M1806" i="13"/>
  <c r="O1805" i="13"/>
  <c r="M1805" i="13"/>
  <c r="O1804" i="13"/>
  <c r="M1804" i="13"/>
  <c r="O1803" i="13"/>
  <c r="M1803" i="13"/>
  <c r="O1802" i="13"/>
  <c r="M1802" i="13"/>
  <c r="O1801" i="13"/>
  <c r="M1801" i="13"/>
  <c r="O1800" i="13"/>
  <c r="M1800" i="13"/>
  <c r="O1799" i="13"/>
  <c r="M1799" i="13"/>
  <c r="O1798" i="13"/>
  <c r="M1798" i="13"/>
  <c r="O1797" i="13"/>
  <c r="M1797" i="13"/>
  <c r="O1796" i="13"/>
  <c r="M1796" i="13"/>
  <c r="O1795" i="13"/>
  <c r="M1795" i="13"/>
  <c r="O1794" i="13"/>
  <c r="M1794" i="13"/>
  <c r="O1793" i="13"/>
  <c r="M1793" i="13"/>
  <c r="O1792" i="13"/>
  <c r="M1792" i="13"/>
  <c r="O1791" i="13"/>
  <c r="M1791" i="13"/>
  <c r="O1790" i="13"/>
  <c r="M1790" i="13"/>
  <c r="O1789" i="13"/>
  <c r="M1789" i="13"/>
  <c r="O1788" i="13"/>
  <c r="M1788" i="13"/>
  <c r="O1787" i="13"/>
  <c r="M1787" i="13"/>
  <c r="O1786" i="13"/>
  <c r="M1786" i="13"/>
  <c r="O1785" i="13"/>
  <c r="M1785" i="13"/>
  <c r="O1784" i="13"/>
  <c r="M1784" i="13"/>
  <c r="O1783" i="13"/>
  <c r="M1783" i="13"/>
  <c r="O1782" i="13"/>
  <c r="M1782" i="13"/>
  <c r="O1781" i="13"/>
  <c r="M1781" i="13"/>
  <c r="O1780" i="13"/>
  <c r="M1780" i="13"/>
  <c r="O1779" i="13"/>
  <c r="M1779" i="13"/>
  <c r="O1778" i="13"/>
  <c r="M1778" i="13"/>
  <c r="O1777" i="13"/>
  <c r="M1777" i="13"/>
  <c r="O1776" i="13"/>
  <c r="M1776" i="13"/>
  <c r="O1775" i="13"/>
  <c r="M1775" i="13"/>
  <c r="O1774" i="13"/>
  <c r="M1774" i="13"/>
  <c r="O1773" i="13"/>
  <c r="M1773" i="13"/>
  <c r="O1772" i="13"/>
  <c r="M1772" i="13"/>
  <c r="O1771" i="13"/>
  <c r="M1771" i="13"/>
  <c r="O1770" i="13"/>
  <c r="M1770" i="13"/>
  <c r="O1769" i="13"/>
  <c r="M1769" i="13"/>
  <c r="O1768" i="13"/>
  <c r="M1768" i="13"/>
  <c r="O1767" i="13"/>
  <c r="M1767" i="13"/>
  <c r="O1766" i="13"/>
  <c r="M1766" i="13"/>
  <c r="O1765" i="13"/>
  <c r="M1765" i="13"/>
  <c r="O1764" i="13"/>
  <c r="M1764" i="13"/>
  <c r="O1763" i="13"/>
  <c r="M1763" i="13"/>
  <c r="D1754" i="13"/>
  <c r="C1754" i="13"/>
  <c r="C1755" i="13" s="1"/>
  <c r="C1756" i="13" s="1"/>
  <c r="C1757" i="13" s="1"/>
  <c r="C1758" i="13" s="1"/>
  <c r="C1759" i="13" s="1"/>
  <c r="C1760" i="13" s="1"/>
  <c r="C1761" i="13" s="1"/>
  <c r="C1762" i="13" s="1"/>
  <c r="C1763" i="13" s="1"/>
  <c r="C1764" i="13" s="1"/>
  <c r="C1765" i="13" s="1"/>
  <c r="C1766" i="13" s="1"/>
  <c r="C1767" i="13" s="1"/>
  <c r="C1768" i="13" s="1"/>
  <c r="C1769" i="13" s="1"/>
  <c r="C1770" i="13" s="1"/>
  <c r="C1771" i="13" s="1"/>
  <c r="C1772" i="13" s="1"/>
  <c r="C1773" i="13" s="1"/>
  <c r="C1774" i="13" s="1"/>
  <c r="C1775" i="13" s="1"/>
  <c r="C1776" i="13" s="1"/>
  <c r="C1777" i="13" s="1"/>
  <c r="C1778" i="13" s="1"/>
  <c r="C1779" i="13" s="1"/>
  <c r="C1780" i="13" s="1"/>
  <c r="C1781" i="13" s="1"/>
  <c r="C1782" i="13" s="1"/>
  <c r="C1783" i="13" s="1"/>
  <c r="C1784" i="13" s="1"/>
  <c r="C1785" i="13" s="1"/>
  <c r="C1786" i="13" s="1"/>
  <c r="C1787" i="13" s="1"/>
  <c r="C1788" i="13" s="1"/>
  <c r="C1789" i="13" s="1"/>
  <c r="C1790" i="13" s="1"/>
  <c r="C1791" i="13" s="1"/>
  <c r="C1792" i="13" s="1"/>
  <c r="C1793" i="13" s="1"/>
  <c r="C1794" i="13" s="1"/>
  <c r="C1795" i="13" s="1"/>
  <c r="C1796" i="13" s="1"/>
  <c r="C1797" i="13" s="1"/>
  <c r="C1798" i="13" s="1"/>
  <c r="C1799" i="13" s="1"/>
  <c r="C1800" i="13" s="1"/>
  <c r="C1801" i="13" s="1"/>
  <c r="C1802" i="13" s="1"/>
  <c r="C1803" i="13" s="1"/>
  <c r="C1804" i="13" s="1"/>
  <c r="C1805" i="13" s="1"/>
  <c r="C1806" i="13" s="1"/>
  <c r="C1807" i="13" s="1"/>
  <c r="C1808" i="13" s="1"/>
  <c r="C1809" i="13" s="1"/>
  <c r="C1810" i="13" s="1"/>
  <c r="C1811" i="13" s="1"/>
  <c r="C1812" i="13" s="1"/>
  <c r="C1813" i="13" s="1"/>
  <c r="L1749" i="13"/>
  <c r="J1748" i="13"/>
  <c r="P1735" i="13"/>
  <c r="O1735" i="13"/>
  <c r="A1735" i="13"/>
  <c r="O1726" i="13"/>
  <c r="M1726" i="13"/>
  <c r="O1725" i="13"/>
  <c r="M1725" i="13"/>
  <c r="O1724" i="13"/>
  <c r="M1724" i="13"/>
  <c r="O1723" i="13"/>
  <c r="M1723" i="13"/>
  <c r="O1722" i="13"/>
  <c r="M1722" i="13"/>
  <c r="O1721" i="13"/>
  <c r="M1721" i="13"/>
  <c r="O1720" i="13"/>
  <c r="M1720" i="13"/>
  <c r="O1719" i="13"/>
  <c r="M1719" i="13"/>
  <c r="O1718" i="13"/>
  <c r="M1718" i="13"/>
  <c r="O1717" i="13"/>
  <c r="M1717" i="13"/>
  <c r="O1716" i="13"/>
  <c r="M1716" i="13"/>
  <c r="O1715" i="13"/>
  <c r="M1715" i="13"/>
  <c r="O1714" i="13"/>
  <c r="M1714" i="13"/>
  <c r="O1713" i="13"/>
  <c r="M1713" i="13"/>
  <c r="O1712" i="13"/>
  <c r="M1712" i="13"/>
  <c r="O1711" i="13"/>
  <c r="M1711" i="13"/>
  <c r="O1710" i="13"/>
  <c r="M1710" i="13"/>
  <c r="O1709" i="13"/>
  <c r="M1709" i="13"/>
  <c r="O1708" i="13"/>
  <c r="M1708" i="13"/>
  <c r="O1707" i="13"/>
  <c r="M1707" i="13"/>
  <c r="O1706" i="13"/>
  <c r="M1706" i="13"/>
  <c r="O1705" i="13"/>
  <c r="M1705" i="13"/>
  <c r="O1704" i="13"/>
  <c r="M1704" i="13"/>
  <c r="O1703" i="13"/>
  <c r="M1703" i="13"/>
  <c r="O1702" i="13"/>
  <c r="M1702" i="13"/>
  <c r="O1701" i="13"/>
  <c r="M1701" i="13"/>
  <c r="O1700" i="13"/>
  <c r="M1700" i="13"/>
  <c r="O1699" i="13"/>
  <c r="M1699" i="13"/>
  <c r="O1698" i="13"/>
  <c r="M1698" i="13"/>
  <c r="O1697" i="13"/>
  <c r="M1697" i="13"/>
  <c r="O1696" i="13"/>
  <c r="M1696" i="13"/>
  <c r="O1695" i="13"/>
  <c r="M1695" i="13"/>
  <c r="O1694" i="13"/>
  <c r="M1694" i="13"/>
  <c r="O1693" i="13"/>
  <c r="M1693" i="13"/>
  <c r="O1692" i="13"/>
  <c r="M1692" i="13"/>
  <c r="O1691" i="13"/>
  <c r="M1691" i="13"/>
  <c r="O1690" i="13"/>
  <c r="M1690" i="13"/>
  <c r="O1689" i="13"/>
  <c r="M1689" i="13"/>
  <c r="O1688" i="13"/>
  <c r="M1688" i="13"/>
  <c r="O1687" i="13"/>
  <c r="M1687" i="13"/>
  <c r="O1686" i="13"/>
  <c r="M1686" i="13"/>
  <c r="O1685" i="13"/>
  <c r="M1685" i="13"/>
  <c r="O1684" i="13"/>
  <c r="M1684" i="13"/>
  <c r="O1683" i="13"/>
  <c r="M1683" i="13"/>
  <c r="O1682" i="13"/>
  <c r="M1682" i="13"/>
  <c r="O1681" i="13"/>
  <c r="M1681" i="13"/>
  <c r="O1680" i="13"/>
  <c r="M1680" i="13"/>
  <c r="O1679" i="13"/>
  <c r="M1679" i="13"/>
  <c r="O1678" i="13"/>
  <c r="M1678" i="13"/>
  <c r="O1677" i="13"/>
  <c r="M1677" i="13"/>
  <c r="O1676" i="13"/>
  <c r="M1676" i="13"/>
  <c r="D1667" i="13"/>
  <c r="C1667" i="13"/>
  <c r="C1668" i="13" s="1"/>
  <c r="C1669" i="13" s="1"/>
  <c r="C1670" i="13" s="1"/>
  <c r="C1671" i="13" s="1"/>
  <c r="C1672" i="13" s="1"/>
  <c r="C1673" i="13" s="1"/>
  <c r="C1674" i="13" s="1"/>
  <c r="C1675" i="13" s="1"/>
  <c r="C1676" i="13" s="1"/>
  <c r="C1677" i="13" s="1"/>
  <c r="C1678" i="13" s="1"/>
  <c r="C1679" i="13" s="1"/>
  <c r="C1680" i="13" s="1"/>
  <c r="C1681" i="13" s="1"/>
  <c r="C1682" i="13" s="1"/>
  <c r="C1683" i="13" s="1"/>
  <c r="C1684" i="13" s="1"/>
  <c r="C1685" i="13" s="1"/>
  <c r="C1686" i="13" s="1"/>
  <c r="C1687" i="13" s="1"/>
  <c r="C1688" i="13" s="1"/>
  <c r="C1689" i="13" s="1"/>
  <c r="C1690" i="13" s="1"/>
  <c r="C1691" i="13" s="1"/>
  <c r="C1692" i="13" s="1"/>
  <c r="C1693" i="13" s="1"/>
  <c r="C1694" i="13" s="1"/>
  <c r="C1695" i="13" s="1"/>
  <c r="C1696" i="13" s="1"/>
  <c r="L1662" i="13"/>
  <c r="J1661" i="13"/>
  <c r="P1648" i="13"/>
  <c r="O1648" i="13"/>
  <c r="A1648" i="13"/>
  <c r="O1639" i="13"/>
  <c r="M1639" i="13"/>
  <c r="O1638" i="13"/>
  <c r="M1638" i="13"/>
  <c r="O1637" i="13"/>
  <c r="M1637" i="13"/>
  <c r="O1636" i="13"/>
  <c r="M1636" i="13"/>
  <c r="O1635" i="13"/>
  <c r="M1635" i="13"/>
  <c r="O1634" i="13"/>
  <c r="M1634" i="13"/>
  <c r="O1633" i="13"/>
  <c r="M1633" i="13"/>
  <c r="O1632" i="13"/>
  <c r="M1632" i="13"/>
  <c r="O1631" i="13"/>
  <c r="M1631" i="13"/>
  <c r="O1630" i="13"/>
  <c r="M1630" i="13"/>
  <c r="O1629" i="13"/>
  <c r="M1629" i="13"/>
  <c r="O1628" i="13"/>
  <c r="M1628" i="13"/>
  <c r="O1627" i="13"/>
  <c r="M1627" i="13"/>
  <c r="O1626" i="13"/>
  <c r="M1626" i="13"/>
  <c r="O1625" i="13"/>
  <c r="M1625" i="13"/>
  <c r="O1624" i="13"/>
  <c r="M1624" i="13"/>
  <c r="O1623" i="13"/>
  <c r="M1623" i="13"/>
  <c r="O1622" i="13"/>
  <c r="M1622" i="13"/>
  <c r="O1621" i="13"/>
  <c r="M1621" i="13"/>
  <c r="O1620" i="13"/>
  <c r="M1620" i="13"/>
  <c r="O1619" i="13"/>
  <c r="M1619" i="13"/>
  <c r="O1618" i="13"/>
  <c r="M1618" i="13"/>
  <c r="O1617" i="13"/>
  <c r="M1617" i="13"/>
  <c r="O1616" i="13"/>
  <c r="M1616" i="13"/>
  <c r="O1615" i="13"/>
  <c r="M1615" i="13"/>
  <c r="O1614" i="13"/>
  <c r="M1614" i="13"/>
  <c r="O1613" i="13"/>
  <c r="M1613" i="13"/>
  <c r="O1612" i="13"/>
  <c r="M1612" i="13"/>
  <c r="O1611" i="13"/>
  <c r="M1611" i="13"/>
  <c r="O1610" i="13"/>
  <c r="M1610" i="13"/>
  <c r="O1609" i="13"/>
  <c r="M1609" i="13"/>
  <c r="O1608" i="13"/>
  <c r="M1608" i="13"/>
  <c r="O1607" i="13"/>
  <c r="M1607" i="13"/>
  <c r="O1606" i="13"/>
  <c r="M1606" i="13"/>
  <c r="O1605" i="13"/>
  <c r="M1605" i="13"/>
  <c r="O1604" i="13"/>
  <c r="M1604" i="13"/>
  <c r="O1603" i="13"/>
  <c r="M1603" i="13"/>
  <c r="O1602" i="13"/>
  <c r="M1602" i="13"/>
  <c r="O1601" i="13"/>
  <c r="M1601" i="13"/>
  <c r="O1600" i="13"/>
  <c r="M1600" i="13"/>
  <c r="O1599" i="13"/>
  <c r="M1599" i="13"/>
  <c r="O1598" i="13"/>
  <c r="M1598" i="13"/>
  <c r="O1597" i="13"/>
  <c r="M1597" i="13"/>
  <c r="O1596" i="13"/>
  <c r="M1596" i="13"/>
  <c r="O1595" i="13"/>
  <c r="M1595" i="13"/>
  <c r="O1594" i="13"/>
  <c r="M1594" i="13"/>
  <c r="O1593" i="13"/>
  <c r="M1593" i="13"/>
  <c r="O1592" i="13"/>
  <c r="M1592" i="13"/>
  <c r="O1591" i="13"/>
  <c r="M1591" i="13"/>
  <c r="O1590" i="13"/>
  <c r="M1590" i="13"/>
  <c r="O1589" i="13"/>
  <c r="M1589" i="13"/>
  <c r="D1580" i="13"/>
  <c r="C1580" i="13"/>
  <c r="C1581" i="13" s="1"/>
  <c r="C1582" i="13" s="1"/>
  <c r="C1583" i="13" s="1"/>
  <c r="C1584" i="13" s="1"/>
  <c r="C1585" i="13" s="1"/>
  <c r="C1586" i="13" s="1"/>
  <c r="C1587" i="13" s="1"/>
  <c r="C1588" i="13" s="1"/>
  <c r="C1589" i="13" s="1"/>
  <c r="C1590" i="13" s="1"/>
  <c r="C1591" i="13" s="1"/>
  <c r="C1592" i="13" s="1"/>
  <c r="C1593" i="13" s="1"/>
  <c r="C1594" i="13" s="1"/>
  <c r="C1595" i="13" s="1"/>
  <c r="C1596" i="13" s="1"/>
  <c r="C1597" i="13" s="1"/>
  <c r="C1598" i="13" s="1"/>
  <c r="C1599" i="13" s="1"/>
  <c r="C1600" i="13" s="1"/>
  <c r="C1601" i="13" s="1"/>
  <c r="C1602" i="13" s="1"/>
  <c r="C1603" i="13" s="1"/>
  <c r="C1604" i="13" s="1"/>
  <c r="C1605" i="13" s="1"/>
  <c r="C1606" i="13" s="1"/>
  <c r="C1607" i="13" s="1"/>
  <c r="C1608" i="13" s="1"/>
  <c r="C1609" i="13" s="1"/>
  <c r="L1575" i="13"/>
  <c r="J1574" i="13"/>
  <c r="P1561" i="13"/>
  <c r="O1561" i="13"/>
  <c r="A1561" i="13"/>
  <c r="O1552" i="13"/>
  <c r="M1552" i="13"/>
  <c r="O1551" i="13"/>
  <c r="M1551" i="13"/>
  <c r="O1550" i="13"/>
  <c r="M1550" i="13"/>
  <c r="O1549" i="13"/>
  <c r="M1549" i="13"/>
  <c r="O1548" i="13"/>
  <c r="M1548" i="13"/>
  <c r="O1547" i="13"/>
  <c r="M1547" i="13"/>
  <c r="O1546" i="13"/>
  <c r="M1546" i="13"/>
  <c r="O1545" i="13"/>
  <c r="M1545" i="13"/>
  <c r="O1544" i="13"/>
  <c r="M1544" i="13"/>
  <c r="O1543" i="13"/>
  <c r="M1543" i="13"/>
  <c r="O1542" i="13"/>
  <c r="M1542" i="13"/>
  <c r="O1541" i="13"/>
  <c r="M1541" i="13"/>
  <c r="O1540" i="13"/>
  <c r="M1540" i="13"/>
  <c r="O1539" i="13"/>
  <c r="M1539" i="13"/>
  <c r="O1538" i="13"/>
  <c r="M1538" i="13"/>
  <c r="O1537" i="13"/>
  <c r="M1537" i="13"/>
  <c r="O1536" i="13"/>
  <c r="M1536" i="13"/>
  <c r="O1535" i="13"/>
  <c r="M1535" i="13"/>
  <c r="O1534" i="13"/>
  <c r="M1534" i="13"/>
  <c r="O1533" i="13"/>
  <c r="M1533" i="13"/>
  <c r="O1532" i="13"/>
  <c r="M1532" i="13"/>
  <c r="O1531" i="13"/>
  <c r="M1531" i="13"/>
  <c r="O1530" i="13"/>
  <c r="M1530" i="13"/>
  <c r="O1529" i="13"/>
  <c r="M1529" i="13"/>
  <c r="O1528" i="13"/>
  <c r="M1528" i="13"/>
  <c r="O1527" i="13"/>
  <c r="M1527" i="13"/>
  <c r="O1526" i="13"/>
  <c r="M1526" i="13"/>
  <c r="O1525" i="13"/>
  <c r="M1525" i="13"/>
  <c r="O1524" i="13"/>
  <c r="M1524" i="13"/>
  <c r="O1523" i="13"/>
  <c r="M1523" i="13"/>
  <c r="O1522" i="13"/>
  <c r="M1522" i="13"/>
  <c r="O1521" i="13"/>
  <c r="M1521" i="13"/>
  <c r="O1520" i="13"/>
  <c r="M1520" i="13"/>
  <c r="O1519" i="13"/>
  <c r="M1519" i="13"/>
  <c r="O1518" i="13"/>
  <c r="M1518" i="13"/>
  <c r="O1517" i="13"/>
  <c r="M1517" i="13"/>
  <c r="O1516" i="13"/>
  <c r="M1516" i="13"/>
  <c r="O1515" i="13"/>
  <c r="M1515" i="13"/>
  <c r="O1514" i="13"/>
  <c r="M1514" i="13"/>
  <c r="O1513" i="13"/>
  <c r="M1513" i="13"/>
  <c r="O1512" i="13"/>
  <c r="M1512" i="13"/>
  <c r="O1511" i="13"/>
  <c r="M1511" i="13"/>
  <c r="O1510" i="13"/>
  <c r="M1510" i="13"/>
  <c r="O1509" i="13"/>
  <c r="M1509" i="13"/>
  <c r="O1508" i="13"/>
  <c r="M1508" i="13"/>
  <c r="O1507" i="13"/>
  <c r="M1507" i="13"/>
  <c r="O1506" i="13"/>
  <c r="M1506" i="13"/>
  <c r="O1505" i="13"/>
  <c r="M1505" i="13"/>
  <c r="O1504" i="13"/>
  <c r="M1504" i="13"/>
  <c r="O1503" i="13"/>
  <c r="M1503" i="13"/>
  <c r="O1502" i="13"/>
  <c r="M1502" i="13"/>
  <c r="O1501" i="13"/>
  <c r="M1501" i="13"/>
  <c r="O1500" i="13"/>
  <c r="M1500" i="13"/>
  <c r="O1499" i="13"/>
  <c r="M1499" i="13"/>
  <c r="O1498" i="13"/>
  <c r="M1498" i="13"/>
  <c r="D1493" i="13"/>
  <c r="C1493" i="13"/>
  <c r="C1494" i="13"/>
  <c r="C1495" i="13"/>
  <c r="C1496" i="13"/>
  <c r="C1497" i="13"/>
  <c r="C1498" i="13"/>
  <c r="C1499" i="13"/>
  <c r="C1500" i="13"/>
  <c r="C1501" i="13"/>
  <c r="C1502" i="13"/>
  <c r="C1503" i="13"/>
  <c r="C1504" i="13"/>
  <c r="C1505" i="13"/>
  <c r="C1506" i="13"/>
  <c r="C1507" i="13"/>
  <c r="C1508" i="13"/>
  <c r="C1509" i="13"/>
  <c r="C1510" i="13"/>
  <c r="C1511" i="13"/>
  <c r="C1512" i="13"/>
  <c r="C1513" i="13"/>
  <c r="C1514" i="13"/>
  <c r="C1515" i="13"/>
  <c r="C1516" i="13"/>
  <c r="C1517" i="13"/>
  <c r="C1518" i="13"/>
  <c r="C1519" i="13"/>
  <c r="C1520" i="13"/>
  <c r="C1521" i="13"/>
  <c r="C1522" i="13"/>
  <c r="J1490" i="13"/>
  <c r="E1493" i="13" s="1"/>
  <c r="L1488" i="13"/>
  <c r="J1487" i="13"/>
  <c r="P1474" i="13"/>
  <c r="O1474" i="13"/>
  <c r="A1474" i="13"/>
  <c r="O1465" i="13"/>
  <c r="M1465" i="13"/>
  <c r="O1464" i="13"/>
  <c r="M1464" i="13"/>
  <c r="O1463" i="13"/>
  <c r="M1463" i="13"/>
  <c r="O1462" i="13"/>
  <c r="M1462" i="13"/>
  <c r="O1461" i="13"/>
  <c r="M1461" i="13"/>
  <c r="O1460" i="13"/>
  <c r="M1460" i="13"/>
  <c r="O1459" i="13"/>
  <c r="M1459" i="13"/>
  <c r="O1458" i="13"/>
  <c r="M1458" i="13"/>
  <c r="O1457" i="13"/>
  <c r="M1457" i="13"/>
  <c r="O1456" i="13"/>
  <c r="M1456" i="13"/>
  <c r="O1455" i="13"/>
  <c r="M1455" i="13"/>
  <c r="O1454" i="13"/>
  <c r="M1454" i="13"/>
  <c r="O1453" i="13"/>
  <c r="M1453" i="13"/>
  <c r="O1452" i="13"/>
  <c r="M1452" i="13"/>
  <c r="O1451" i="13"/>
  <c r="M1451" i="13"/>
  <c r="O1450" i="13"/>
  <c r="M1450" i="13"/>
  <c r="O1449" i="13"/>
  <c r="M1449" i="13"/>
  <c r="O1448" i="13"/>
  <c r="M1448" i="13"/>
  <c r="O1447" i="13"/>
  <c r="M1447" i="13"/>
  <c r="O1446" i="13"/>
  <c r="M1446" i="13"/>
  <c r="O1445" i="13"/>
  <c r="M1445" i="13"/>
  <c r="O1444" i="13"/>
  <c r="M1444" i="13"/>
  <c r="O1443" i="13"/>
  <c r="M1443" i="13"/>
  <c r="O1442" i="13"/>
  <c r="M1442" i="13"/>
  <c r="O1441" i="13"/>
  <c r="M1441" i="13"/>
  <c r="O1440" i="13"/>
  <c r="M1440" i="13"/>
  <c r="O1439" i="13"/>
  <c r="M1439" i="13"/>
  <c r="O1438" i="13"/>
  <c r="M1438" i="13"/>
  <c r="O1437" i="13"/>
  <c r="M1437" i="13"/>
  <c r="O1436" i="13"/>
  <c r="M1436" i="13"/>
  <c r="O1435" i="13"/>
  <c r="M1435" i="13"/>
  <c r="O1434" i="13"/>
  <c r="M1434" i="13"/>
  <c r="O1433" i="13"/>
  <c r="M1433" i="13"/>
  <c r="O1432" i="13"/>
  <c r="M1432" i="13"/>
  <c r="O1431" i="13"/>
  <c r="M1431" i="13"/>
  <c r="O1430" i="13"/>
  <c r="M1430" i="13"/>
  <c r="O1429" i="13"/>
  <c r="M1429" i="13"/>
  <c r="O1428" i="13"/>
  <c r="M1428" i="13"/>
  <c r="O1427" i="13"/>
  <c r="M1427" i="13"/>
  <c r="O1426" i="13"/>
  <c r="M1426" i="13"/>
  <c r="O1425" i="13"/>
  <c r="M1425" i="13"/>
  <c r="O1424" i="13"/>
  <c r="M1424" i="13"/>
  <c r="O1423" i="13"/>
  <c r="M1423" i="13"/>
  <c r="O1422" i="13"/>
  <c r="M1422" i="13"/>
  <c r="O1421" i="13"/>
  <c r="M1421" i="13"/>
  <c r="O1420" i="13"/>
  <c r="M1420" i="13"/>
  <c r="O1419" i="13"/>
  <c r="M1419" i="13"/>
  <c r="O1418" i="13"/>
  <c r="M1418" i="13"/>
  <c r="O1417" i="13"/>
  <c r="M1417" i="13"/>
  <c r="O1416" i="13"/>
  <c r="M1416" i="13"/>
  <c r="O1415" i="13"/>
  <c r="M1415" i="13"/>
  <c r="D1406" i="13"/>
  <c r="C1406" i="13"/>
  <c r="C1407" i="13" s="1"/>
  <c r="C1408" i="13" s="1"/>
  <c r="C1409" i="13" s="1"/>
  <c r="C1410" i="13" s="1"/>
  <c r="C1411" i="13" s="1"/>
  <c r="C1412" i="13" s="1"/>
  <c r="C1413" i="13" s="1"/>
  <c r="C1414" i="13" s="1"/>
  <c r="C1415" i="13" s="1"/>
  <c r="C1416" i="13" s="1"/>
  <c r="C1417" i="13" s="1"/>
  <c r="C1418" i="13" s="1"/>
  <c r="C1419" i="13" s="1"/>
  <c r="C1420" i="13" s="1"/>
  <c r="C1421" i="13" s="1"/>
  <c r="C1422" i="13" s="1"/>
  <c r="C1423" i="13" s="1"/>
  <c r="C1424" i="13" s="1"/>
  <c r="C1425" i="13" s="1"/>
  <c r="C1426" i="13" s="1"/>
  <c r="C1427" i="13" s="1"/>
  <c r="C1428" i="13" s="1"/>
  <c r="C1429" i="13" s="1"/>
  <c r="C1430" i="13" s="1"/>
  <c r="C1431" i="13" s="1"/>
  <c r="C1432" i="13" s="1"/>
  <c r="C1433" i="13" s="1"/>
  <c r="C1434" i="13" s="1"/>
  <c r="C1435" i="13" s="1"/>
  <c r="C1436" i="13" s="1"/>
  <c r="C1437" i="13" s="1"/>
  <c r="C1438" i="13" s="1"/>
  <c r="C1439" i="13" s="1"/>
  <c r="C1440" i="13" s="1"/>
  <c r="C1441" i="13" s="1"/>
  <c r="C1442" i="13" s="1"/>
  <c r="C1443" i="13" s="1"/>
  <c r="C1444" i="13" s="1"/>
  <c r="C1445" i="13" s="1"/>
  <c r="C1446" i="13" s="1"/>
  <c r="C1447" i="13" s="1"/>
  <c r="C1448" i="13" s="1"/>
  <c r="C1449" i="13" s="1"/>
  <c r="C1450" i="13" s="1"/>
  <c r="C1451" i="13" s="1"/>
  <c r="C1452" i="13" s="1"/>
  <c r="C1453" i="13" s="1"/>
  <c r="C1454" i="13" s="1"/>
  <c r="C1455" i="13" s="1"/>
  <c r="C1456" i="13" s="1"/>
  <c r="C1457" i="13" s="1"/>
  <c r="C1458" i="13" s="1"/>
  <c r="C1459" i="13" s="1"/>
  <c r="C1460" i="13" s="1"/>
  <c r="C1461" i="13" s="1"/>
  <c r="C1462" i="13" s="1"/>
  <c r="C1463" i="13" s="1"/>
  <c r="C1464" i="13" s="1"/>
  <c r="C1465" i="13" s="1"/>
  <c r="L1401" i="13"/>
  <c r="J1400" i="13"/>
  <c r="P1387" i="13"/>
  <c r="O1387" i="13"/>
  <c r="A1387" i="13"/>
  <c r="O1378" i="13"/>
  <c r="M1378" i="13"/>
  <c r="O1377" i="13"/>
  <c r="M1377" i="13"/>
  <c r="O1376" i="13"/>
  <c r="M1376" i="13"/>
  <c r="O1375" i="13"/>
  <c r="M1375" i="13"/>
  <c r="O1374" i="13"/>
  <c r="M1374" i="13"/>
  <c r="O1373" i="13"/>
  <c r="M1373" i="13"/>
  <c r="O1372" i="13"/>
  <c r="M1372" i="13"/>
  <c r="O1371" i="13"/>
  <c r="M1371" i="13"/>
  <c r="O1370" i="13"/>
  <c r="M1370" i="13"/>
  <c r="O1369" i="13"/>
  <c r="M1369" i="13"/>
  <c r="O1368" i="13"/>
  <c r="M1368" i="13"/>
  <c r="O1367" i="13"/>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D1319" i="13"/>
  <c r="C1319" i="13"/>
  <c r="C1320" i="13" s="1"/>
  <c r="C1321" i="13" s="1"/>
  <c r="C1322" i="13" s="1"/>
  <c r="C1323" i="13" s="1"/>
  <c r="C1324" i="13" s="1"/>
  <c r="C1325" i="13" s="1"/>
  <c r="C1326" i="13" s="1"/>
  <c r="C1327" i="13" s="1"/>
  <c r="C1328" i="13" s="1"/>
  <c r="C1329" i="13" s="1"/>
  <c r="C1330" i="13" s="1"/>
  <c r="C1331" i="13" s="1"/>
  <c r="C1332" i="13" s="1"/>
  <c r="C1333" i="13" s="1"/>
  <c r="C1334" i="13" s="1"/>
  <c r="C1335" i="13" s="1"/>
  <c r="C1336" i="13" s="1"/>
  <c r="C1337" i="13" s="1"/>
  <c r="C1338" i="13" s="1"/>
  <c r="C1339" i="13" s="1"/>
  <c r="C1340" i="13" s="1"/>
  <c r="C1341" i="13" s="1"/>
  <c r="C1342" i="13" s="1"/>
  <c r="C1343" i="13" s="1"/>
  <c r="C1344" i="13" s="1"/>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C1368" i="13" s="1"/>
  <c r="C1369" i="13" s="1"/>
  <c r="C1370" i="13" s="1"/>
  <c r="C1371" i="13" s="1"/>
  <c r="C1372" i="13" s="1"/>
  <c r="C1373" i="13" s="1"/>
  <c r="C1374" i="13" s="1"/>
  <c r="C1375" i="13" s="1"/>
  <c r="C1376" i="13" s="1"/>
  <c r="C1377" i="13" s="1"/>
  <c r="C1378" i="13" s="1"/>
  <c r="L1314" i="13"/>
  <c r="J1313" i="13"/>
  <c r="P1300" i="13"/>
  <c r="O1300" i="13"/>
  <c r="A1300" i="13"/>
  <c r="O1291" i="13"/>
  <c r="M1291" i="13"/>
  <c r="O1290" i="13"/>
  <c r="M1290" i="13"/>
  <c r="O1289" i="13"/>
  <c r="M1289" i="13"/>
  <c r="O1288" i="13"/>
  <c r="M1288" i="13"/>
  <c r="O1287" i="13"/>
  <c r="M1287" i="13"/>
  <c r="O1286" i="13"/>
  <c r="M1286" i="13"/>
  <c r="O1285" i="13"/>
  <c r="M1285" i="13"/>
  <c r="O1284" i="13"/>
  <c r="M1284" i="13"/>
  <c r="O1283" i="13"/>
  <c r="M1283" i="13"/>
  <c r="O1282" i="13"/>
  <c r="M1282" i="13"/>
  <c r="O1281" i="13"/>
  <c r="M1281" i="13"/>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D1232" i="13"/>
  <c r="C1232" i="13"/>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C1251" i="13" s="1"/>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C1281" i="13" s="1"/>
  <c r="C1282" i="13" s="1"/>
  <c r="C1283" i="13" s="1"/>
  <c r="C1284" i="13" s="1"/>
  <c r="C1285" i="13" s="1"/>
  <c r="C1286" i="13" s="1"/>
  <c r="C1287" i="13" s="1"/>
  <c r="C1288" i="13" s="1"/>
  <c r="C1289" i="13" s="1"/>
  <c r="C1290" i="13" s="1"/>
  <c r="C1291" i="13" s="1"/>
  <c r="L1227" i="13"/>
  <c r="J1226" i="13"/>
  <c r="P1213" i="13"/>
  <c r="O1213" i="13"/>
  <c r="A1213" i="13"/>
  <c r="O1204" i="13"/>
  <c r="M1204" i="13"/>
  <c r="O1203" i="13"/>
  <c r="M1203" i="13"/>
  <c r="O1202" i="13"/>
  <c r="M1202" i="13"/>
  <c r="O1201" i="13"/>
  <c r="M1201" i="13"/>
  <c r="O1200" i="13"/>
  <c r="M1200" i="13"/>
  <c r="O1199" i="13"/>
  <c r="M1199" i="13"/>
  <c r="O1198" i="13"/>
  <c r="M1198" i="13"/>
  <c r="O1197" i="13"/>
  <c r="M1197" i="13"/>
  <c r="O1196" i="13"/>
  <c r="M1196" i="13"/>
  <c r="O1195" i="13"/>
  <c r="M1195" i="13"/>
  <c r="O1194" i="13"/>
  <c r="M1194" i="13"/>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D1145" i="13"/>
  <c r="C1145" i="13"/>
  <c r="C1146" i="13" s="1"/>
  <c r="C1147" i="13" s="1"/>
  <c r="C1148" i="13" s="1"/>
  <c r="C1149" i="13" s="1"/>
  <c r="C1150" i="13" s="1"/>
  <c r="C1151" i="13" s="1"/>
  <c r="C1152" i="13" s="1"/>
  <c r="C1153" i="13" s="1"/>
  <c r="C1154" i="13" s="1"/>
  <c r="C1155" i="13" s="1"/>
  <c r="C1156" i="13" s="1"/>
  <c r="C1157" i="13" s="1"/>
  <c r="C1158" i="13" s="1"/>
  <c r="C1159" i="13" s="1"/>
  <c r="C1160" i="13" s="1"/>
  <c r="C1161" i="13" s="1"/>
  <c r="C1162" i="13" s="1"/>
  <c r="C1163" i="13" s="1"/>
  <c r="C1164" i="13" s="1"/>
  <c r="C1165" i="13" s="1"/>
  <c r="C1166" i="13" s="1"/>
  <c r="C1167" i="13" s="1"/>
  <c r="C1168" i="13" s="1"/>
  <c r="C1169" i="13" s="1"/>
  <c r="C1170" i="13" s="1"/>
  <c r="C1171" i="13" s="1"/>
  <c r="C1172" i="13" s="1"/>
  <c r="C1173" i="13" s="1"/>
  <c r="C1174" i="13" s="1"/>
  <c r="L1140" i="13"/>
  <c r="J1139" i="13"/>
  <c r="P1126" i="13"/>
  <c r="O1126" i="13"/>
  <c r="A1126" i="13"/>
  <c r="O1117" i="13"/>
  <c r="M1117" i="13"/>
  <c r="O1116" i="13"/>
  <c r="M1116" i="13"/>
  <c r="O1115" i="13"/>
  <c r="M1115" i="13"/>
  <c r="O1114" i="13"/>
  <c r="M1114" i="13"/>
  <c r="O1113" i="13"/>
  <c r="M1113" i="13"/>
  <c r="O1112" i="13"/>
  <c r="M1112" i="13"/>
  <c r="O1111" i="13"/>
  <c r="M1111" i="13"/>
  <c r="O1110" i="13"/>
  <c r="M1110" i="13"/>
  <c r="O1109" i="13"/>
  <c r="M1109" i="13"/>
  <c r="O1108" i="13"/>
  <c r="M1108"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D1058" i="13"/>
  <c r="C1058" i="13"/>
  <c r="C1059" i="13" s="1"/>
  <c r="C1060" i="13" s="1"/>
  <c r="C1061" i="13" s="1"/>
  <c r="C1062" i="13" s="1"/>
  <c r="C1063" i="13" s="1"/>
  <c r="C1064" i="13" s="1"/>
  <c r="C1065" i="13" s="1"/>
  <c r="C1066" i="13" s="1"/>
  <c r="C1067" i="13" s="1"/>
  <c r="C1068" i="13" s="1"/>
  <c r="C1069" i="13" s="1"/>
  <c r="C1070" i="13" s="1"/>
  <c r="C1071" i="13" s="1"/>
  <c r="C1072" i="13" s="1"/>
  <c r="C1073" i="13" s="1"/>
  <c r="C1074" i="13" s="1"/>
  <c r="C1075" i="13" s="1"/>
  <c r="C1076" i="13" s="1"/>
  <c r="C1077" i="13" s="1"/>
  <c r="C1078" i="13" s="1"/>
  <c r="C1079" i="13" s="1"/>
  <c r="C1080" i="13" s="1"/>
  <c r="C1081" i="13" s="1"/>
  <c r="C1082" i="13" s="1"/>
  <c r="C1083" i="13" s="1"/>
  <c r="C1084" i="13" s="1"/>
  <c r="C1085" i="13" s="1"/>
  <c r="C1086" i="13" s="1"/>
  <c r="C1087" i="13" s="1"/>
  <c r="L1053" i="13"/>
  <c r="J1052" i="13"/>
  <c r="P1039" i="13"/>
  <c r="O1039" i="13"/>
  <c r="A1039" i="13"/>
  <c r="O1030" i="13"/>
  <c r="M1030" i="13"/>
  <c r="O1029" i="13"/>
  <c r="M1029" i="13"/>
  <c r="O1028" i="13"/>
  <c r="M1028" i="13"/>
  <c r="O1027" i="13"/>
  <c r="M1027"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D971" i="13"/>
  <c r="C971" i="13"/>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C997" i="13" s="1"/>
  <c r="C998" i="13" s="1"/>
  <c r="C999" i="13" s="1"/>
  <c r="C1000" i="13" s="1"/>
  <c r="L966" i="13"/>
  <c r="J965" i="13"/>
  <c r="O952" i="13"/>
  <c r="A952" i="13"/>
  <c r="O943" i="13"/>
  <c r="M943" i="13"/>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D884" i="13"/>
  <c r="C884" i="13"/>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C943" i="13" s="1"/>
  <c r="L879" i="13"/>
  <c r="J878" i="13"/>
  <c r="O865" i="13"/>
  <c r="A865" i="13"/>
  <c r="O856" i="13"/>
  <c r="M856"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D797" i="13"/>
  <c r="C797" i="13"/>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L792" i="13"/>
  <c r="J791" i="13"/>
  <c r="O778" i="13"/>
  <c r="A778" i="13"/>
  <c r="O769" i="13"/>
  <c r="M769"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D710" i="13"/>
  <c r="C710" i="13"/>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C739" i="13" s="1"/>
  <c r="L705" i="13"/>
  <c r="J704" i="13"/>
  <c r="O691" i="13"/>
  <c r="A691" i="13"/>
  <c r="O682" i="13"/>
  <c r="M682"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D623" i="13"/>
  <c r="C623" i="13"/>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L618" i="13"/>
  <c r="J617" i="13"/>
  <c r="O604" i="13"/>
  <c r="A604" i="13"/>
  <c r="O595" i="13"/>
  <c r="M595"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D536" i="13"/>
  <c r="C536" i="13"/>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L531" i="13"/>
  <c r="J530" i="13"/>
  <c r="O517" i="13"/>
  <c r="A517" i="13"/>
  <c r="O508" i="13"/>
  <c r="M508"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D449" i="13"/>
  <c r="C449" i="13"/>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L444" i="13"/>
  <c r="J443" i="13"/>
  <c r="O430" i="13"/>
  <c r="A430" i="13"/>
  <c r="O421" i="13"/>
  <c r="M421"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D362" i="13"/>
  <c r="C362" i="13"/>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C421" i="13" s="1"/>
  <c r="L357" i="13"/>
  <c r="J356" i="13"/>
  <c r="O343" i="13"/>
  <c r="A343"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D275" i="13"/>
  <c r="C275" i="13"/>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L270" i="13"/>
  <c r="J269" i="13"/>
  <c r="O256" i="13"/>
  <c r="A256"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87" i="13"/>
  <c r="M187" i="13"/>
  <c r="D187" i="13"/>
  <c r="C187" i="13"/>
  <c r="C188" i="13" s="1"/>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L182" i="13"/>
  <c r="J181" i="13"/>
  <c r="O168" i="13"/>
  <c r="A168" i="13"/>
  <c r="G157" i="2"/>
  <c r="G142" i="2"/>
  <c r="G141" i="2"/>
  <c r="G130" i="2"/>
  <c r="D1990" i="20"/>
  <c r="C1990" i="20"/>
  <c r="C1991" i="20" s="1"/>
  <c r="C1992" i="20" s="1"/>
  <c r="C1993" i="20" s="1"/>
  <c r="C1994" i="20" s="1"/>
  <c r="C1995" i="20" s="1"/>
  <c r="C1996" i="20" s="1"/>
  <c r="C1997" i="20" s="1"/>
  <c r="C1998" i="20" s="1"/>
  <c r="C1999" i="20" s="1"/>
  <c r="C2000" i="20" s="1"/>
  <c r="C2001" i="20" s="1"/>
  <c r="C2002" i="20" s="1"/>
  <c r="C2003" i="20" s="1"/>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C2033" i="20" s="1"/>
  <c r="C2034" i="20" s="1"/>
  <c r="C2035" i="20" s="1"/>
  <c r="C2036" i="20" s="1"/>
  <c r="C2037" i="20" s="1"/>
  <c r="C2038" i="20" s="1"/>
  <c r="C2039" i="20" s="1"/>
  <c r="C2040" i="20" s="1"/>
  <c r="C2041" i="20" s="1"/>
  <c r="C2042" i="20" s="1"/>
  <c r="C2043" i="20" s="1"/>
  <c r="C2044" i="20" s="1"/>
  <c r="C2045" i="20" s="1"/>
  <c r="C2046" i="20" s="1"/>
  <c r="C2047" i="20" s="1"/>
  <c r="C2048" i="20" s="1"/>
  <c r="C2049" i="20" s="1"/>
  <c r="K1985" i="20"/>
  <c r="I1984" i="20"/>
  <c r="O1971" i="20"/>
  <c r="N1971" i="20"/>
  <c r="A1971" i="20"/>
  <c r="D1444" i="20"/>
  <c r="D1451" i="20" s="1"/>
  <c r="M466" i="20"/>
  <c r="H22" i="41"/>
  <c r="H23" i="41" s="1"/>
  <c r="H24" i="41" s="1"/>
  <c r="H25" i="41" s="1"/>
  <c r="H26" i="41" s="1"/>
  <c r="H27" i="41" s="1"/>
  <c r="H28" i="41" s="1"/>
  <c r="H29" i="41" s="1"/>
  <c r="H30" i="41" s="1"/>
  <c r="H31" i="41" s="1"/>
  <c r="H32" i="41" s="1"/>
  <c r="I10" i="41"/>
  <c r="E21" i="41" s="1"/>
  <c r="E22" i="41" s="1"/>
  <c r="E23" i="41" s="1"/>
  <c r="E24" i="41" s="1"/>
  <c r="E25" i="41" s="1"/>
  <c r="E26" i="41" s="1"/>
  <c r="E27" i="41" s="1"/>
  <c r="E28" i="41" s="1"/>
  <c r="E29" i="41" s="1"/>
  <c r="E30" i="41" s="1"/>
  <c r="E31" i="41" s="1"/>
  <c r="E32" i="41" s="1"/>
  <c r="G10" i="41"/>
  <c r="C10" i="41"/>
  <c r="H22" i="35"/>
  <c r="H23" i="35" s="1"/>
  <c r="H24" i="35" s="1"/>
  <c r="H25" i="35" s="1"/>
  <c r="H26" i="35" s="1"/>
  <c r="H27" i="35" s="1"/>
  <c r="H28" i="35" s="1"/>
  <c r="H29" i="35" s="1"/>
  <c r="H30" i="35" s="1"/>
  <c r="H31" i="35" s="1"/>
  <c r="H32" i="35" s="1"/>
  <c r="I10" i="35"/>
  <c r="J54" i="35" s="1"/>
  <c r="G10" i="35"/>
  <c r="C10" i="35"/>
  <c r="D1901" i="20"/>
  <c r="C1901" i="20"/>
  <c r="C1902" i="20" s="1"/>
  <c r="C1903" i="20" s="1"/>
  <c r="C1904" i="20" s="1"/>
  <c r="C1905" i="20" s="1"/>
  <c r="C1906" i="20" s="1"/>
  <c r="C1907" i="20" s="1"/>
  <c r="C1908" i="20" s="1"/>
  <c r="C1909" i="20" s="1"/>
  <c r="C1910" i="20" s="1"/>
  <c r="C1911" i="20" s="1"/>
  <c r="C1912" i="20" s="1"/>
  <c r="C1913" i="20" s="1"/>
  <c r="C1914" i="20" s="1"/>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C1944" i="20" s="1"/>
  <c r="C1945" i="20" s="1"/>
  <c r="C1946" i="20" s="1"/>
  <c r="C1947" i="20" s="1"/>
  <c r="C1948" i="20" s="1"/>
  <c r="C1949" i="20" s="1"/>
  <c r="C1950" i="20" s="1"/>
  <c r="C1951" i="20" s="1"/>
  <c r="C1952" i="20" s="1"/>
  <c r="C1953" i="20" s="1"/>
  <c r="C1954" i="20" s="1"/>
  <c r="C1955" i="20" s="1"/>
  <c r="C1956" i="20" s="1"/>
  <c r="C1957" i="20" s="1"/>
  <c r="C1958" i="20" s="1"/>
  <c r="C1959" i="20" s="1"/>
  <c r="C1960" i="20" s="1"/>
  <c r="K1896" i="20"/>
  <c r="I1895" i="20"/>
  <c r="O1882" i="20"/>
  <c r="N1882" i="20"/>
  <c r="A1882" i="20"/>
  <c r="D1811" i="20"/>
  <c r="C1811" i="20"/>
  <c r="C1812" i="20" s="1"/>
  <c r="C1813" i="20" s="1"/>
  <c r="C1814" i="20" s="1"/>
  <c r="C1815" i="20" s="1"/>
  <c r="C1816" i="20" s="1"/>
  <c r="C1817" i="20" s="1"/>
  <c r="C1818" i="20" s="1"/>
  <c r="C1819" i="20" s="1"/>
  <c r="C1820" i="20" s="1"/>
  <c r="C1821" i="20" s="1"/>
  <c r="C1822" i="20" s="1"/>
  <c r="C1823" i="20" s="1"/>
  <c r="C1824" i="20" s="1"/>
  <c r="C1825" i="20" s="1"/>
  <c r="C1826" i="20" s="1"/>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C1855" i="20" s="1"/>
  <c r="C1856" i="20" s="1"/>
  <c r="C1857" i="20" s="1"/>
  <c r="C1858" i="20" s="1"/>
  <c r="C1859" i="20" s="1"/>
  <c r="C1860" i="20" s="1"/>
  <c r="C1861" i="20" s="1"/>
  <c r="C1862" i="20" s="1"/>
  <c r="C1863" i="20" s="1"/>
  <c r="C1864" i="20" s="1"/>
  <c r="C1865" i="20" s="1"/>
  <c r="C1866" i="20" s="1"/>
  <c r="C1867" i="20" s="1"/>
  <c r="C1868" i="20" s="1"/>
  <c r="C1869" i="20" s="1"/>
  <c r="C1870" i="20" s="1"/>
  <c r="K1806" i="20"/>
  <c r="I1805" i="20"/>
  <c r="O1792" i="20"/>
  <c r="N1792" i="20"/>
  <c r="A1792" i="20"/>
  <c r="D1721" i="20"/>
  <c r="C1721" i="20"/>
  <c r="C1722" i="20" s="1"/>
  <c r="C1723" i="20" s="1"/>
  <c r="C1724" i="20" s="1"/>
  <c r="C1725" i="20" s="1"/>
  <c r="C1726" i="20" s="1"/>
  <c r="C1727" i="20" s="1"/>
  <c r="C1728" i="20" s="1"/>
  <c r="C1729" i="20" s="1"/>
  <c r="C1730" i="20" s="1"/>
  <c r="C1731" i="20" s="1"/>
  <c r="C1732" i="20" s="1"/>
  <c r="C1733" i="20" s="1"/>
  <c r="C1734" i="20" s="1"/>
  <c r="C1735" i="20" s="1"/>
  <c r="C1736" i="20" s="1"/>
  <c r="C1737" i="20" s="1"/>
  <c r="C1738" i="20" s="1"/>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C1765" i="20" s="1"/>
  <c r="C1766" i="20" s="1"/>
  <c r="C1767" i="20" s="1"/>
  <c r="C1768" i="20" s="1"/>
  <c r="C1769" i="20" s="1"/>
  <c r="C1770" i="20" s="1"/>
  <c r="C1771" i="20" s="1"/>
  <c r="C1772" i="20" s="1"/>
  <c r="C1773" i="20" s="1"/>
  <c r="C1774" i="20" s="1"/>
  <c r="C1775" i="20" s="1"/>
  <c r="C1776" i="20" s="1"/>
  <c r="C1777" i="20" s="1"/>
  <c r="C1778" i="20" s="1"/>
  <c r="C1779" i="20" s="1"/>
  <c r="C1780" i="20" s="1"/>
  <c r="K1716" i="20"/>
  <c r="I1715" i="20"/>
  <c r="O1702" i="20"/>
  <c r="N1702" i="20"/>
  <c r="A1702" i="20"/>
  <c r="D1631" i="20"/>
  <c r="C1631" i="20"/>
  <c r="C1632" i="20" s="1"/>
  <c r="C1633" i="20" s="1"/>
  <c r="C1634" i="20" s="1"/>
  <c r="C1635" i="20" s="1"/>
  <c r="C1636" i="20" s="1"/>
  <c r="C1637" i="20" s="1"/>
  <c r="C1638" i="20" s="1"/>
  <c r="C1639" i="20" s="1"/>
  <c r="C1640" i="20" s="1"/>
  <c r="C1641" i="20" s="1"/>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C1661" i="20" s="1"/>
  <c r="C1662" i="20" s="1"/>
  <c r="C1663" i="20" s="1"/>
  <c r="C1664" i="20" s="1"/>
  <c r="C1665" i="20" s="1"/>
  <c r="C1666" i="20" s="1"/>
  <c r="C1667" i="20" s="1"/>
  <c r="C1668" i="20" s="1"/>
  <c r="C1669" i="20" s="1"/>
  <c r="C1670" i="20" s="1"/>
  <c r="C1671" i="20" s="1"/>
  <c r="C1672" i="20" s="1"/>
  <c r="C1673" i="20" s="1"/>
  <c r="C1674" i="20" s="1"/>
  <c r="C1675" i="20" s="1"/>
  <c r="C1676" i="20" s="1"/>
  <c r="C1677" i="20" s="1"/>
  <c r="C1678" i="20" s="1"/>
  <c r="C1679" i="20" s="1"/>
  <c r="C1680" i="20" s="1"/>
  <c r="C1681" i="20" s="1"/>
  <c r="C1682" i="20" s="1"/>
  <c r="C1683" i="20" s="1"/>
  <c r="C1684" i="20" s="1"/>
  <c r="C1685" i="20" s="1"/>
  <c r="C1686" i="20" s="1"/>
  <c r="C1687" i="20" s="1"/>
  <c r="C1688" i="20" s="1"/>
  <c r="C1689" i="20" s="1"/>
  <c r="C1690" i="20" s="1"/>
  <c r="K1626" i="20"/>
  <c r="I1625" i="20"/>
  <c r="O1612" i="20"/>
  <c r="N1612" i="20"/>
  <c r="A1612" i="20"/>
  <c r="C1600" i="20"/>
  <c r="C1599" i="20"/>
  <c r="C1598" i="20"/>
  <c r="C1597" i="20"/>
  <c r="C1596" i="20"/>
  <c r="C1595" i="20"/>
  <c r="C1594" i="20"/>
  <c r="C1593" i="20"/>
  <c r="C1592" i="20"/>
  <c r="C1591" i="20"/>
  <c r="C1590" i="20"/>
  <c r="C1589" i="20"/>
  <c r="C1588" i="20"/>
  <c r="C1587" i="20"/>
  <c r="C1586" i="20"/>
  <c r="C1585" i="20"/>
  <c r="C1584" i="20"/>
  <c r="C1583" i="20"/>
  <c r="C1582" i="20"/>
  <c r="C1581" i="20"/>
  <c r="C1580" i="20"/>
  <c r="C1579" i="20"/>
  <c r="C1578" i="20"/>
  <c r="C1577" i="20"/>
  <c r="C1576" i="20"/>
  <c r="C1575" i="20"/>
  <c r="C1574" i="20"/>
  <c r="C1573" i="20"/>
  <c r="C1572" i="20"/>
  <c r="C1571" i="20"/>
  <c r="C1570" i="20"/>
  <c r="C1569" i="20"/>
  <c r="C1568" i="20"/>
  <c r="C1567" i="20"/>
  <c r="C1566" i="20"/>
  <c r="C1565" i="20"/>
  <c r="C1564" i="20"/>
  <c r="C1563" i="20"/>
  <c r="C1562" i="20"/>
  <c r="C1561" i="20"/>
  <c r="C1560" i="20"/>
  <c r="C1559" i="20"/>
  <c r="C1558" i="20"/>
  <c r="C1557" i="20"/>
  <c r="C1556" i="20"/>
  <c r="C1555" i="20"/>
  <c r="C1554" i="20"/>
  <c r="C1553" i="20"/>
  <c r="C1552" i="20"/>
  <c r="C1551" i="20"/>
  <c r="C1550" i="20"/>
  <c r="C1549" i="20"/>
  <c r="C1548" i="20"/>
  <c r="C1547" i="20"/>
  <c r="C1546" i="20"/>
  <c r="C1545" i="20"/>
  <c r="C1544" i="20"/>
  <c r="C1543" i="20"/>
  <c r="C1542" i="20"/>
  <c r="D1541" i="20"/>
  <c r="C1541" i="20"/>
  <c r="I1538" i="20"/>
  <c r="E1541" i="20" s="1"/>
  <c r="K1536" i="20"/>
  <c r="I1535" i="20"/>
  <c r="O1522" i="20"/>
  <c r="N1522" i="20"/>
  <c r="A1522" i="20"/>
  <c r="C1451" i="20"/>
  <c r="C1452" i="20" s="1"/>
  <c r="C1453" i="20" s="1"/>
  <c r="C1454" i="20" s="1"/>
  <c r="C1455" i="20" s="1"/>
  <c r="C1456" i="20" s="1"/>
  <c r="C1457" i="20" s="1"/>
  <c r="C1458" i="20" s="1"/>
  <c r="C1459" i="20" s="1"/>
  <c r="C1460" i="20" s="1"/>
  <c r="C1461" i="20" s="1"/>
  <c r="C1462" i="20" s="1"/>
  <c r="C1463" i="20" s="1"/>
  <c r="C1464" i="20" s="1"/>
  <c r="C1465" i="20" s="1"/>
  <c r="C1466" i="20" s="1"/>
  <c r="C1467" i="20" s="1"/>
  <c r="C1468" i="20" s="1"/>
  <c r="C1469" i="20" s="1"/>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498" i="20" s="1"/>
  <c r="C1499" i="20" s="1"/>
  <c r="C1500" i="20" s="1"/>
  <c r="C1501" i="20" s="1"/>
  <c r="C1502" i="20" s="1"/>
  <c r="C1503" i="20" s="1"/>
  <c r="C1504" i="20" s="1"/>
  <c r="C1505" i="20" s="1"/>
  <c r="C1506" i="20" s="1"/>
  <c r="C1507" i="20" s="1"/>
  <c r="C1508" i="20" s="1"/>
  <c r="C1509" i="20" s="1"/>
  <c r="C1510" i="20" s="1"/>
  <c r="K1446" i="20"/>
  <c r="I1445" i="20"/>
  <c r="O1432" i="20"/>
  <c r="N1432" i="20"/>
  <c r="A1432" i="20"/>
  <c r="D1361" i="20"/>
  <c r="C1361" i="20"/>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C1409" i="20" s="1"/>
  <c r="C1410" i="20" s="1"/>
  <c r="C1411" i="20" s="1"/>
  <c r="C1412" i="20" s="1"/>
  <c r="C1413" i="20" s="1"/>
  <c r="C1414" i="20" s="1"/>
  <c r="C1415" i="20" s="1"/>
  <c r="C1416" i="20" s="1"/>
  <c r="C1417" i="20" s="1"/>
  <c r="C1418" i="20" s="1"/>
  <c r="C1419" i="20" s="1"/>
  <c r="C1420" i="20" s="1"/>
  <c r="K1356" i="20"/>
  <c r="I1355" i="20"/>
  <c r="O1342" i="20"/>
  <c r="N1342" i="20"/>
  <c r="A1342" i="20"/>
  <c r="O1072" i="20"/>
  <c r="D1271" i="20"/>
  <c r="C1271" i="20"/>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320" i="20" s="1"/>
  <c r="C1321" i="20" s="1"/>
  <c r="C1322" i="20" s="1"/>
  <c r="C1323" i="20" s="1"/>
  <c r="C1324" i="20" s="1"/>
  <c r="C1325" i="20" s="1"/>
  <c r="C1326" i="20" s="1"/>
  <c r="C1327" i="20" s="1"/>
  <c r="C1328" i="20" s="1"/>
  <c r="C1329" i="20" s="1"/>
  <c r="C1330" i="20" s="1"/>
  <c r="K1266" i="20"/>
  <c r="I1265" i="20"/>
  <c r="N1252" i="20"/>
  <c r="A1252" i="20"/>
  <c r="D1181" i="20"/>
  <c r="C1181" i="20"/>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231" i="20" s="1"/>
  <c r="C1232" i="20" s="1"/>
  <c r="C1233" i="20" s="1"/>
  <c r="C1234" i="20" s="1"/>
  <c r="C1235" i="20" s="1"/>
  <c r="C1236" i="20" s="1"/>
  <c r="C1237" i="20" s="1"/>
  <c r="C1238" i="20" s="1"/>
  <c r="C1239" i="20" s="1"/>
  <c r="C1240" i="20" s="1"/>
  <c r="K1176" i="20"/>
  <c r="I1175" i="20"/>
  <c r="O1162" i="20"/>
  <c r="N1162" i="20"/>
  <c r="A1162" i="20"/>
  <c r="D1091" i="20"/>
  <c r="C1091" i="20"/>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142" i="20" s="1"/>
  <c r="C1143" i="20" s="1"/>
  <c r="C1144" i="20" s="1"/>
  <c r="C1145" i="20" s="1"/>
  <c r="C1146" i="20" s="1"/>
  <c r="C1147" i="20" s="1"/>
  <c r="C1148" i="20" s="1"/>
  <c r="C1149" i="20" s="1"/>
  <c r="C1150" i="20" s="1"/>
  <c r="K1086" i="20"/>
  <c r="I1085" i="20"/>
  <c r="N1072" i="20"/>
  <c r="A1072" i="20"/>
  <c r="D1001" i="20"/>
  <c r="C1001" i="20"/>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K996" i="20"/>
  <c r="I995" i="20"/>
  <c r="N982" i="20"/>
  <c r="A982" i="20"/>
  <c r="D911" i="20"/>
  <c r="C911" i="20"/>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K906" i="20"/>
  <c r="I905" i="20"/>
  <c r="N892" i="20"/>
  <c r="A892" i="20"/>
  <c r="D821" i="20"/>
  <c r="C821" i="20"/>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N802" i="20"/>
  <c r="A802" i="20"/>
  <c r="D731" i="20"/>
  <c r="C731" i="20"/>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K726" i="20"/>
  <c r="I725" i="20"/>
  <c r="N712" i="20"/>
  <c r="A712" i="20"/>
  <c r="D641" i="20"/>
  <c r="C641" i="20"/>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K636" i="20"/>
  <c r="I635" i="20"/>
  <c r="O622" i="20"/>
  <c r="N622" i="20"/>
  <c r="A622" i="20"/>
  <c r="D551" i="20"/>
  <c r="C551" i="20"/>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N532" i="20"/>
  <c r="A532" i="20"/>
  <c r="D461" i="20"/>
  <c r="C461" i="20"/>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N442" i="20"/>
  <c r="A442" i="20"/>
  <c r="D371"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K366" i="20"/>
  <c r="I365" i="20"/>
  <c r="O352" i="20"/>
  <c r="N352" i="20"/>
  <c r="A352"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N262" i="20"/>
  <c r="A262" i="20"/>
  <c r="D191" i="20"/>
  <c r="C191" i="20"/>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N172" i="20"/>
  <c r="A172" i="20"/>
  <c r="F62" i="38"/>
  <c r="E62" i="38"/>
  <c r="L205" i="2" s="1"/>
  <c r="D62" i="38"/>
  <c r="C62" i="38"/>
  <c r="L206" i="2" s="1"/>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A2" i="39"/>
  <c r="B6" i="14"/>
  <c r="A6" i="13"/>
  <c r="A81" i="13" s="1"/>
  <c r="A6" i="20"/>
  <c r="A82"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E64" i="2" s="1"/>
  <c r="A2" i="38"/>
  <c r="E40" i="31"/>
  <c r="E23" i="11" s="1"/>
  <c r="G23" i="11" s="1"/>
  <c r="I41" i="31"/>
  <c r="I40" i="31" s="1"/>
  <c r="I39" i="31"/>
  <c r="I38" i="31"/>
  <c r="I36" i="31"/>
  <c r="I35" i="31"/>
  <c r="I34" i="31"/>
  <c r="I33" i="31"/>
  <c r="I32" i="31"/>
  <c r="I31" i="31"/>
  <c r="I25" i="31"/>
  <c r="I26" i="31"/>
  <c r="I27" i="31"/>
  <c r="I28" i="31"/>
  <c r="I29" i="31"/>
  <c r="I24" i="31"/>
  <c r="D43" i="5"/>
  <c r="D42" i="5"/>
  <c r="D27" i="5"/>
  <c r="D19" i="5"/>
  <c r="B1" i="37"/>
  <c r="B1" i="36"/>
  <c r="S52" i="37"/>
  <c r="Q52" i="37"/>
  <c r="O52" i="37"/>
  <c r="N52" i="37"/>
  <c r="M52" i="37"/>
  <c r="K23" i="37"/>
  <c r="J23" i="37"/>
  <c r="I23" i="37"/>
  <c r="D23" i="37"/>
  <c r="C23"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K17" i="37"/>
  <c r="J17" i="37"/>
  <c r="I17" i="37"/>
  <c r="D17" i="37"/>
  <c r="C17" i="37"/>
  <c r="S91" i="36"/>
  <c r="R91" i="36"/>
  <c r="E52" i="5" s="1"/>
  <c r="Q91" i="36"/>
  <c r="O91" i="36"/>
  <c r="N91" i="36"/>
  <c r="G52" i="5" s="1"/>
  <c r="M91" i="36"/>
  <c r="F91" i="36"/>
  <c r="E91" i="36"/>
  <c r="K89" i="36"/>
  <c r="J89" i="36"/>
  <c r="I89" i="36"/>
  <c r="D89" i="36"/>
  <c r="C89" i="36"/>
  <c r="K88" i="36"/>
  <c r="J88" i="36"/>
  <c r="I88" i="36"/>
  <c r="D88" i="36"/>
  <c r="C88" i="36"/>
  <c r="K74" i="36"/>
  <c r="J74" i="36"/>
  <c r="I74" i="36"/>
  <c r="D74" i="36"/>
  <c r="C74" i="36"/>
  <c r="A74" i="36"/>
  <c r="A77" i="36" s="1"/>
  <c r="S71" i="36"/>
  <c r="S77" i="36" s="1"/>
  <c r="Q71" i="36"/>
  <c r="Q77" i="36" s="1"/>
  <c r="O71" i="36"/>
  <c r="O77" i="36" s="1"/>
  <c r="M71" i="36"/>
  <c r="M77" i="36" s="1"/>
  <c r="K62" i="36"/>
  <c r="J62" i="36"/>
  <c r="I62" i="36"/>
  <c r="D62" i="36"/>
  <c r="C62" i="36"/>
  <c r="K61" i="36"/>
  <c r="J61" i="36"/>
  <c r="I61" i="36"/>
  <c r="D61" i="36"/>
  <c r="C61" i="36"/>
  <c r="K57" i="36"/>
  <c r="J57" i="36"/>
  <c r="I57" i="36"/>
  <c r="D57" i="36"/>
  <c r="C57" i="36"/>
  <c r="A53" i="36"/>
  <c r="D26" i="5" s="1"/>
  <c r="S52" i="36"/>
  <c r="Q52" i="36"/>
  <c r="O52" i="36"/>
  <c r="M52" i="36"/>
  <c r="K44" i="36"/>
  <c r="J44" i="36"/>
  <c r="I44" i="36"/>
  <c r="D44" i="36"/>
  <c r="C44" i="36"/>
  <c r="K43" i="36"/>
  <c r="J43" i="36"/>
  <c r="I43" i="36"/>
  <c r="D43" i="36"/>
  <c r="C43" i="36"/>
  <c r="K42" i="36"/>
  <c r="J42" i="36"/>
  <c r="I42" i="36"/>
  <c r="D42" i="36"/>
  <c r="C42" i="36"/>
  <c r="K40" i="36"/>
  <c r="J40" i="36"/>
  <c r="I40" i="36"/>
  <c r="D40" i="36"/>
  <c r="C40"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D100" i="13"/>
  <c r="C100" i="13"/>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M88" i="13" s="1"/>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86" i="31"/>
  <c r="E38" i="11" s="1"/>
  <c r="K38" i="11" s="1"/>
  <c r="D297"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F7" i="2"/>
  <c r="F53" i="2" s="1"/>
  <c r="F117" i="2" s="1"/>
  <c r="F196" i="2" s="1"/>
  <c r="F259" i="2" s="1"/>
  <c r="C112" i="34"/>
  <c r="J24" i="34"/>
  <c r="E198" i="34"/>
  <c r="E186" i="34"/>
  <c r="G79" i="6"/>
  <c r="G30" i="6" s="1"/>
  <c r="H214" i="2"/>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164" i="2" s="1"/>
  <c r="E51" i="11"/>
  <c r="E61" i="11" s="1"/>
  <c r="E63" i="11" s="1"/>
  <c r="E65" i="11" s="1"/>
  <c r="I51" i="11"/>
  <c r="E66" i="11"/>
  <c r="E56" i="11"/>
  <c r="I66" i="11"/>
  <c r="I56" i="11"/>
  <c r="C50" i="11"/>
  <c r="M41" i="11"/>
  <c r="L214" i="2"/>
  <c r="L216" i="2"/>
  <c r="C31" i="34"/>
  <c r="C32" i="34" s="1"/>
  <c r="C37" i="34"/>
  <c r="C38" i="34" s="1"/>
  <c r="C43" i="34"/>
  <c r="C44" i="34" s="1"/>
  <c r="C49" i="34"/>
  <c r="C50" i="34" s="1"/>
  <c r="E31" i="34"/>
  <c r="E37" i="34"/>
  <c r="E43" i="34"/>
  <c r="E49" i="34"/>
  <c r="E50" i="34" s="1"/>
  <c r="F31" i="34"/>
  <c r="F32" i="34" s="1"/>
  <c r="F37" i="34"/>
  <c r="F43" i="34"/>
  <c r="F44" i="34" s="1"/>
  <c r="F49" i="34"/>
  <c r="F50" i="34" s="1"/>
  <c r="G31" i="34"/>
  <c r="G37" i="34"/>
  <c r="G38" i="34" s="1"/>
  <c r="G43" i="34"/>
  <c r="G44" i="34" s="1"/>
  <c r="G49" i="34"/>
  <c r="G50" i="34" s="1"/>
  <c r="H31" i="34"/>
  <c r="H32" i="34" s="1"/>
  <c r="H37" i="34"/>
  <c r="H38" i="34" s="1"/>
  <c r="H43" i="34"/>
  <c r="H44" i="34" s="1"/>
  <c r="H49" i="34"/>
  <c r="I31" i="34"/>
  <c r="I32" i="34" s="1"/>
  <c r="I37" i="34"/>
  <c r="I43" i="34"/>
  <c r="I44" i="34" s="1"/>
  <c r="I49" i="34"/>
  <c r="I50" i="34" s="1"/>
  <c r="F11" i="10"/>
  <c r="F15" i="10"/>
  <c r="F19" i="10"/>
  <c r="F23" i="10"/>
  <c r="F27" i="10"/>
  <c r="C14" i="34"/>
  <c r="C63" i="34" s="1"/>
  <c r="J10" i="34"/>
  <c r="J9" i="34"/>
  <c r="J11" i="34"/>
  <c r="J13" i="34"/>
  <c r="J56" i="34"/>
  <c r="J58" i="34"/>
  <c r="J59" i="34"/>
  <c r="F14" i="34"/>
  <c r="F63" i="34" s="1"/>
  <c r="G14" i="34"/>
  <c r="G63" i="34" s="1"/>
  <c r="H14" i="34"/>
  <c r="I14" i="34"/>
  <c r="I63" i="34" s="1"/>
  <c r="J19" i="34"/>
  <c r="J20" i="34"/>
  <c r="J21" i="34"/>
  <c r="J22" i="34"/>
  <c r="J23" i="34"/>
  <c r="D21" i="9"/>
  <c r="G133" i="2" s="1"/>
  <c r="F217" i="2"/>
  <c r="G55" i="6"/>
  <c r="G29" i="6" s="1"/>
  <c r="C21" i="7"/>
  <c r="C23" i="7" s="1"/>
  <c r="G110" i="2" s="1"/>
  <c r="L110" i="2" s="1"/>
  <c r="O17" i="21"/>
  <c r="O22" i="21"/>
  <c r="O27" i="21"/>
  <c r="E50" i="31"/>
  <c r="E26" i="11" s="1"/>
  <c r="I26" i="11" s="1"/>
  <c r="E52" i="31"/>
  <c r="E27" i="11" s="1"/>
  <c r="I27" i="11" s="1"/>
  <c r="E54" i="31"/>
  <c r="E28" i="11" s="1"/>
  <c r="I28" i="11" s="1"/>
  <c r="E37" i="31"/>
  <c r="E22" i="11" s="1"/>
  <c r="G22" i="11" s="1"/>
  <c r="E23" i="31"/>
  <c r="E20" i="11" s="1"/>
  <c r="G20" i="11" s="1"/>
  <c r="E30" i="31"/>
  <c r="E21" i="11" s="1"/>
  <c r="G21" i="11" s="1"/>
  <c r="E14" i="31"/>
  <c r="E17" i="11" s="1"/>
  <c r="E59" i="31"/>
  <c r="E31" i="11" s="1"/>
  <c r="M31" i="11" s="1"/>
  <c r="E62" i="31"/>
  <c r="E34" i="11" s="1"/>
  <c r="M34" i="11" s="1"/>
  <c r="E89" i="31"/>
  <c r="E39" i="11" s="1"/>
  <c r="M39" i="11" s="1"/>
  <c r="E95" i="31"/>
  <c r="E40" i="11" s="1"/>
  <c r="M40" i="11" s="1"/>
  <c r="E65" i="31"/>
  <c r="E35" i="11" s="1"/>
  <c r="K35" i="11" s="1"/>
  <c r="E69" i="31"/>
  <c r="E36" i="11" s="1"/>
  <c r="K36" i="11" s="1"/>
  <c r="E81" i="31"/>
  <c r="E37" i="11" s="1"/>
  <c r="K37" i="11" s="1"/>
  <c r="A10" i="34"/>
  <c r="A11" i="34" s="1"/>
  <c r="A12" i="34" s="1"/>
  <c r="A13" i="34" s="1"/>
  <c r="A14" i="34" s="1"/>
  <c r="A19" i="9"/>
  <c r="A20" i="9" s="1"/>
  <c r="A21" i="9" s="1"/>
  <c r="A24" i="9" s="1"/>
  <c r="A25" i="9" s="1"/>
  <c r="A26" i="9" s="1"/>
  <c r="A27" i="9" s="1"/>
  <c r="A28" i="9" s="1"/>
  <c r="A29" i="9" s="1"/>
  <c r="A30" i="9" s="1"/>
  <c r="A31" i="9" s="1"/>
  <c r="A32" i="9" s="1"/>
  <c r="A33" i="9" s="1"/>
  <c r="F118" i="34"/>
  <c r="F119" i="34" s="1"/>
  <c r="F124" i="34"/>
  <c r="F125" i="34" s="1"/>
  <c r="F130" i="34"/>
  <c r="F131" i="34" s="1"/>
  <c r="F136" i="34"/>
  <c r="F183" i="34"/>
  <c r="F184" i="34"/>
  <c r="F185" i="34"/>
  <c r="F186" i="34"/>
  <c r="F187" i="34"/>
  <c r="F206" i="34"/>
  <c r="F208" i="34"/>
  <c r="F209" i="34"/>
  <c r="F193" i="34"/>
  <c r="F194" i="34"/>
  <c r="F195" i="34"/>
  <c r="F196" i="34"/>
  <c r="F197" i="34"/>
  <c r="F198" i="34"/>
  <c r="E118" i="34"/>
  <c r="E119" i="34" s="1"/>
  <c r="E124" i="34"/>
  <c r="E130" i="34"/>
  <c r="E131" i="34" s="1"/>
  <c r="E136" i="34"/>
  <c r="E137" i="34" s="1"/>
  <c r="G118" i="34"/>
  <c r="G119" i="34" s="1"/>
  <c r="G124" i="34"/>
  <c r="G130" i="34"/>
  <c r="G131" i="34" s="1"/>
  <c r="G136" i="34"/>
  <c r="G137" i="34" s="1"/>
  <c r="H118" i="34"/>
  <c r="H119" i="34" s="1"/>
  <c r="H124" i="34"/>
  <c r="H125" i="34" s="1"/>
  <c r="H130" i="34"/>
  <c r="H131" i="34" s="1"/>
  <c r="H136" i="34"/>
  <c r="H137" i="34" s="1"/>
  <c r="I118" i="34"/>
  <c r="I124" i="34"/>
  <c r="I125" i="34" s="1"/>
  <c r="I130" i="34"/>
  <c r="I131" i="34" s="1"/>
  <c r="I136" i="34"/>
  <c r="I137" i="34" s="1"/>
  <c r="C118" i="34"/>
  <c r="C124" i="34"/>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s="1"/>
  <c r="A25" i="10" s="1"/>
  <c r="C183" i="34"/>
  <c r="J183" i="34" s="1"/>
  <c r="E183" i="34"/>
  <c r="G183" i="34"/>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s="1"/>
  <c r="L244" i="2" s="1"/>
  <c r="E206" i="34"/>
  <c r="G206" i="34"/>
  <c r="H206" i="34"/>
  <c r="I206" i="34"/>
  <c r="C208" i="34"/>
  <c r="J208" i="34" s="1"/>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C101" i="34"/>
  <c r="E101" i="34"/>
  <c r="E150" i="34" s="1"/>
  <c r="F101" i="34"/>
  <c r="F150" i="34" s="1"/>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F101" i="31"/>
  <c r="E98" i="31"/>
  <c r="A14" i="31"/>
  <c r="A22" i="31" s="1"/>
  <c r="I50" i="5"/>
  <c r="C60" i="13"/>
  <c r="K33" i="21"/>
  <c r="A22" i="21"/>
  <c r="A27" i="21" s="1"/>
  <c r="A33" i="21" s="1"/>
  <c r="D187" i="2" s="1"/>
  <c r="A6" i="21"/>
  <c r="M20" i="13"/>
  <c r="L26" i="20"/>
  <c r="I454" i="20" s="1"/>
  <c r="N8" i="20"/>
  <c r="C11" i="20"/>
  <c r="C14" i="20"/>
  <c r="C18" i="20"/>
  <c r="C26" i="20"/>
  <c r="C32" i="20"/>
  <c r="C42" i="20"/>
  <c r="C43" i="20"/>
  <c r="C53" i="20"/>
  <c r="C55" i="20"/>
  <c r="C58" i="20"/>
  <c r="C62" i="20"/>
  <c r="C65" i="20"/>
  <c r="C66" i="20"/>
  <c r="C68" i="20"/>
  <c r="C69" i="20"/>
  <c r="C71" i="20"/>
  <c r="N82" i="20"/>
  <c r="O82" i="20"/>
  <c r="C11" i="13"/>
  <c r="C14" i="13"/>
  <c r="C18" i="13"/>
  <c r="C26" i="13"/>
  <c r="C32" i="13"/>
  <c r="C42" i="13"/>
  <c r="C43" i="13"/>
  <c r="C53" i="13"/>
  <c r="C55" i="13"/>
  <c r="C58" i="13"/>
  <c r="C62" i="13"/>
  <c r="C65" i="13"/>
  <c r="C66" i="13"/>
  <c r="C68" i="13"/>
  <c r="C69" i="13"/>
  <c r="C71" i="13"/>
  <c r="O81" i="13"/>
  <c r="E47" i="9"/>
  <c r="E53" i="9"/>
  <c r="E54" i="9"/>
  <c r="E55" i="9"/>
  <c r="E56" i="9"/>
  <c r="E57" i="9"/>
  <c r="E58" i="9"/>
  <c r="E59" i="9"/>
  <c r="E60" i="9"/>
  <c r="E61" i="9"/>
  <c r="E62" i="9"/>
  <c r="J13" i="8"/>
  <c r="A15" i="8"/>
  <c r="A17" i="8" s="1"/>
  <c r="J15" i="8"/>
  <c r="A27" i="8"/>
  <c r="A29" i="8" s="1"/>
  <c r="A31" i="8" s="1"/>
  <c r="E15" i="2" s="1"/>
  <c r="J29" i="8"/>
  <c r="A15" i="7"/>
  <c r="A17" i="7" s="1"/>
  <c r="A18" i="7" s="1"/>
  <c r="A19" i="7" s="1"/>
  <c r="A21" i="7" s="1"/>
  <c r="A23" i="7" s="1"/>
  <c r="E110" i="2"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17" i="5"/>
  <c r="A18" i="5" s="1"/>
  <c r="A19" i="5" s="1"/>
  <c r="F51" i="2"/>
  <c r="F115" i="2" s="1"/>
  <c r="F194" i="2" s="1"/>
  <c r="F257" i="2" s="1"/>
  <c r="F52" i="2"/>
  <c r="F116" i="2" s="1"/>
  <c r="F195" i="2" s="1"/>
  <c r="F258" i="2" s="1"/>
  <c r="F55" i="2"/>
  <c r="F119" i="2" s="1"/>
  <c r="F198" i="2" s="1"/>
  <c r="F261" i="2" s="1"/>
  <c r="B61" i="2"/>
  <c r="B125" i="2" s="1"/>
  <c r="B62" i="2"/>
  <c r="B126" i="2" s="1"/>
  <c r="D71" i="2"/>
  <c r="D79" i="2" s="1"/>
  <c r="D73" i="2"/>
  <c r="D80" i="2" s="1"/>
  <c r="D75" i="2"/>
  <c r="D81" i="2" s="1"/>
  <c r="E123" i="2"/>
  <c r="L123" i="2"/>
  <c r="E124" i="2"/>
  <c r="G124" i="2"/>
  <c r="I124" i="2"/>
  <c r="L124" i="2"/>
  <c r="D154" i="2"/>
  <c r="H216" i="2"/>
  <c r="B15" i="2"/>
  <c r="B17" i="2" s="1"/>
  <c r="B18" i="2" s="1"/>
  <c r="B24" i="2" s="1"/>
  <c r="B26" i="2" s="1"/>
  <c r="B27" i="2" s="1"/>
  <c r="D30" i="2" s="1"/>
  <c r="E25" i="34"/>
  <c r="E14" i="34"/>
  <c r="E63" i="34" s="1"/>
  <c r="J12" i="34"/>
  <c r="C25" i="34"/>
  <c r="C198" i="34"/>
  <c r="L87" i="13"/>
  <c r="D79" i="6"/>
  <c r="D30" i="6" s="1"/>
  <c r="O442" i="20"/>
  <c r="O712" i="20"/>
  <c r="O262" i="20"/>
  <c r="O892" i="20"/>
  <c r="O1252" i="20"/>
  <c r="O8" i="20"/>
  <c r="O172" i="20"/>
  <c r="O532" i="20"/>
  <c r="O802" i="20"/>
  <c r="O982" i="20"/>
  <c r="J79" i="6"/>
  <c r="J30" i="6" s="1"/>
  <c r="J55" i="6"/>
  <c r="J29" i="6" s="1"/>
  <c r="N1530" i="20"/>
  <c r="I908" i="20"/>
  <c r="E911" i="20" s="1"/>
  <c r="C1523" i="13"/>
  <c r="C1524" i="13"/>
  <c r="C1525" i="13"/>
  <c r="C1526" i="13"/>
  <c r="C1527" i="13"/>
  <c r="C1528" i="13"/>
  <c r="C1529" i="13"/>
  <c r="C1530" i="13"/>
  <c r="C1531" i="13"/>
  <c r="C1532" i="13"/>
  <c r="C1533" i="13"/>
  <c r="C1534" i="13"/>
  <c r="C1535" i="13"/>
  <c r="C1536" i="13"/>
  <c r="C1537" i="13"/>
  <c r="C1538" i="13"/>
  <c r="C1539" i="13"/>
  <c r="C1540" i="13"/>
  <c r="C1541" i="13"/>
  <c r="C1542" i="13"/>
  <c r="C1543" i="13"/>
  <c r="C1544" i="13"/>
  <c r="C1545" i="13"/>
  <c r="C1546" i="13"/>
  <c r="C1547" i="13"/>
  <c r="C1548" i="13"/>
  <c r="C1549" i="13"/>
  <c r="C1550" i="13"/>
  <c r="C1551" i="13"/>
  <c r="C1552" i="13"/>
  <c r="M971" i="13"/>
  <c r="O1481" i="13"/>
  <c r="M1493" i="13"/>
  <c r="O971" i="13"/>
  <c r="O1493" i="13"/>
  <c r="M1494" i="13"/>
  <c r="M1495" i="13"/>
  <c r="O1494" i="13"/>
  <c r="O1495" i="13"/>
  <c r="O1496" i="13"/>
  <c r="M1496" i="13"/>
  <c r="O1497" i="13"/>
  <c r="M1497" i="13"/>
  <c r="P778" i="13"/>
  <c r="P691" i="13"/>
  <c r="P81" i="13"/>
  <c r="P604" i="13"/>
  <c r="P256" i="13"/>
  <c r="P168" i="13"/>
  <c r="P343" i="13"/>
  <c r="P865" i="13"/>
  <c r="P517" i="13"/>
  <c r="P430" i="13"/>
  <c r="P952" i="13"/>
  <c r="P8" i="13"/>
  <c r="N1483" i="13"/>
  <c r="M1483" i="13"/>
  <c r="O1482" i="13"/>
  <c r="J881" i="13"/>
  <c r="E884" i="13" s="1"/>
  <c r="O26" i="20"/>
  <c r="L36" i="2" s="1"/>
  <c r="G21" i="35"/>
  <c r="G22" i="35" s="1"/>
  <c r="G23" i="35" s="1"/>
  <c r="G24" i="35" s="1"/>
  <c r="G15" i="41"/>
  <c r="G21" i="41" s="1"/>
  <c r="A21" i="37" l="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64" i="36"/>
  <c r="A65" i="36" s="1"/>
  <c r="A66" i="36" s="1"/>
  <c r="A67" i="36" s="1"/>
  <c r="A68" i="36" s="1"/>
  <c r="J77" i="13"/>
  <c r="N524" i="13"/>
  <c r="P1772" i="13"/>
  <c r="P1419" i="13"/>
  <c r="P1764" i="13"/>
  <c r="P1768" i="13"/>
  <c r="P1780" i="13"/>
  <c r="P1784" i="13"/>
  <c r="P1796" i="13"/>
  <c r="R52" i="36"/>
  <c r="P1884" i="13"/>
  <c r="P808" i="13"/>
  <c r="P856" i="13"/>
  <c r="P1374" i="13"/>
  <c r="P1344" i="13"/>
  <c r="P1356" i="13"/>
  <c r="P1860" i="13"/>
  <c r="P1864" i="13"/>
  <c r="P1888" i="13"/>
  <c r="P1602" i="13"/>
  <c r="G58" i="36"/>
  <c r="P1935" i="13"/>
  <c r="P1951" i="13"/>
  <c r="P1967" i="13"/>
  <c r="P1983" i="13"/>
  <c r="P1987" i="13"/>
  <c r="E45" i="32"/>
  <c r="E47" i="32" s="1"/>
  <c r="I42" i="5"/>
  <c r="G44" i="37"/>
  <c r="P291" i="13"/>
  <c r="P315" i="13"/>
  <c r="P202" i="13"/>
  <c r="P214" i="13"/>
  <c r="P218" i="13"/>
  <c r="P230" i="13"/>
  <c r="P234" i="13"/>
  <c r="P242" i="13"/>
  <c r="P246" i="13"/>
  <c r="P373" i="13"/>
  <c r="P381" i="13"/>
  <c r="P1107" i="13"/>
  <c r="P1693" i="13"/>
  <c r="P1701" i="13"/>
  <c r="P1705" i="13"/>
  <c r="P1721" i="13"/>
  <c r="P744" i="13"/>
  <c r="I18" i="5"/>
  <c r="I814" i="20"/>
  <c r="P1074" i="13"/>
  <c r="P1098" i="13"/>
  <c r="P1102" i="13"/>
  <c r="P1106" i="13"/>
  <c r="P1110" i="13"/>
  <c r="P1173" i="13"/>
  <c r="P1193" i="13"/>
  <c r="P1197" i="13"/>
  <c r="P1201" i="13"/>
  <c r="P1373" i="13"/>
  <c r="P1501" i="13"/>
  <c r="P1505" i="13"/>
  <c r="P1509" i="13"/>
  <c r="P1513" i="13"/>
  <c r="P1517" i="13"/>
  <c r="P1682" i="13"/>
  <c r="P1686" i="13"/>
  <c r="P1698" i="13"/>
  <c r="P1718" i="13"/>
  <c r="P1722" i="13"/>
  <c r="P1853" i="13"/>
  <c r="P1877" i="13"/>
  <c r="P1947" i="13"/>
  <c r="P908" i="13"/>
  <c r="P912" i="13"/>
  <c r="P1763" i="13"/>
  <c r="P1767" i="13"/>
  <c r="P1771" i="13"/>
  <c r="P1775" i="13"/>
  <c r="P1795" i="13"/>
  <c r="P1811" i="13"/>
  <c r="P836" i="13"/>
  <c r="P844" i="13"/>
  <c r="P982" i="13"/>
  <c r="P990" i="13"/>
  <c r="P994" i="13"/>
  <c r="P1030" i="13"/>
  <c r="P1242" i="13"/>
  <c r="P1246" i="13"/>
  <c r="P1254" i="13"/>
  <c r="P1258" i="13"/>
  <c r="P1270" i="13"/>
  <c r="P1274" i="13"/>
  <c r="P1435" i="13"/>
  <c r="P1439" i="13"/>
  <c r="P1591" i="13"/>
  <c r="P1595" i="13"/>
  <c r="P1599" i="13"/>
  <c r="P1603" i="13"/>
  <c r="P1615" i="13"/>
  <c r="P1776" i="13"/>
  <c r="P1792" i="13"/>
  <c r="P1800" i="13"/>
  <c r="P1804" i="13"/>
  <c r="P1812" i="13"/>
  <c r="D45" i="36"/>
  <c r="G45" i="36" s="1"/>
  <c r="E23" i="39"/>
  <c r="L228" i="2" s="1"/>
  <c r="P1172" i="13"/>
  <c r="P1332" i="13"/>
  <c r="P1368" i="13"/>
  <c r="P1372" i="13"/>
  <c r="P1376" i="13"/>
  <c r="P1677" i="13"/>
  <c r="P1681" i="13"/>
  <c r="P1697" i="13"/>
  <c r="P1717" i="13"/>
  <c r="P1848" i="13"/>
  <c r="P1856" i="13"/>
  <c r="P1868" i="13"/>
  <c r="P1876" i="13"/>
  <c r="P1880" i="13"/>
  <c r="P1892" i="13"/>
  <c r="P1896" i="13"/>
  <c r="J63" i="36"/>
  <c r="J71" i="36" s="1"/>
  <c r="J77" i="36" s="1"/>
  <c r="I26" i="5"/>
  <c r="D63" i="36"/>
  <c r="F64" i="36" s="1"/>
  <c r="D64" i="36" s="1"/>
  <c r="P130" i="13"/>
  <c r="G42" i="36"/>
  <c r="P1700" i="13"/>
  <c r="P1160" i="13"/>
  <c r="P1204" i="13"/>
  <c r="F884" i="13"/>
  <c r="G884" i="13" s="1"/>
  <c r="P1451" i="13"/>
  <c r="P1463" i="13"/>
  <c r="P1623" i="13"/>
  <c r="P1635" i="13"/>
  <c r="G21" i="37"/>
  <c r="N611" i="13"/>
  <c r="M1307" i="13"/>
  <c r="E55" i="39"/>
  <c r="L223" i="2" s="1"/>
  <c r="P922" i="13"/>
  <c r="P377" i="13"/>
  <c r="P385" i="13"/>
  <c r="P389" i="13"/>
  <c r="P401" i="13"/>
  <c r="P1346" i="13"/>
  <c r="P1263" i="13"/>
  <c r="N1307" i="13"/>
  <c r="P934" i="13"/>
  <c r="P916" i="13"/>
  <c r="P920" i="13"/>
  <c r="P924" i="13"/>
  <c r="P932" i="13"/>
  <c r="P936" i="13"/>
  <c r="P914" i="13"/>
  <c r="P942" i="13"/>
  <c r="P1251" i="13"/>
  <c r="P768" i="13"/>
  <c r="P1415" i="13"/>
  <c r="P1423" i="13"/>
  <c r="P1427" i="13"/>
  <c r="P1431" i="13"/>
  <c r="P1443" i="13"/>
  <c r="P1447" i="13"/>
  <c r="P1455" i="13"/>
  <c r="P328" i="13"/>
  <c r="P765" i="13"/>
  <c r="P1813" i="13"/>
  <c r="P1965" i="13"/>
  <c r="P1091" i="13"/>
  <c r="G37" i="36"/>
  <c r="P207" i="13"/>
  <c r="P211" i="13"/>
  <c r="P215" i="13"/>
  <c r="P219" i="13"/>
  <c r="P235" i="13"/>
  <c r="P239" i="13"/>
  <c r="P243" i="13"/>
  <c r="P1092" i="13"/>
  <c r="P753" i="13"/>
  <c r="P1424" i="13"/>
  <c r="G33" i="36"/>
  <c r="P1079" i="13"/>
  <c r="G66" i="36"/>
  <c r="P474" i="13"/>
  <c r="P733" i="13"/>
  <c r="F1493" i="13"/>
  <c r="G1493" i="13" s="1"/>
  <c r="P1620" i="13"/>
  <c r="P1628" i="13"/>
  <c r="P1330" i="13"/>
  <c r="P1354" i="13"/>
  <c r="P1370" i="13"/>
  <c r="P1898" i="13"/>
  <c r="C166" i="34"/>
  <c r="P486" i="13"/>
  <c r="P749" i="13"/>
  <c r="P1416" i="13"/>
  <c r="P1596" i="13"/>
  <c r="P1636" i="13"/>
  <c r="P1981" i="13"/>
  <c r="P638" i="13"/>
  <c r="P1334" i="13"/>
  <c r="P1350" i="13"/>
  <c r="J54" i="41"/>
  <c r="I79" i="34"/>
  <c r="P745" i="13"/>
  <c r="P1420" i="13"/>
  <c r="P1632" i="13"/>
  <c r="P1949" i="13"/>
  <c r="P1977" i="13"/>
  <c r="P634" i="13"/>
  <c r="P1111" i="13"/>
  <c r="P1170" i="13"/>
  <c r="P1342" i="13"/>
  <c r="P1358" i="13"/>
  <c r="G38" i="36"/>
  <c r="G62" i="36"/>
  <c r="G59" i="36"/>
  <c r="P333" i="13"/>
  <c r="P1000" i="13"/>
  <c r="P1012" i="13"/>
  <c r="G22" i="39"/>
  <c r="P988" i="13"/>
  <c r="P1004" i="13"/>
  <c r="P1617" i="13"/>
  <c r="P295" i="13"/>
  <c r="P299" i="13"/>
  <c r="P303" i="13"/>
  <c r="P311" i="13"/>
  <c r="P319" i="13"/>
  <c r="P321" i="13"/>
  <c r="P1020" i="13"/>
  <c r="I77" i="20"/>
  <c r="P998" i="13"/>
  <c r="P939" i="13"/>
  <c r="P1016" i="13"/>
  <c r="I1174" i="20"/>
  <c r="I1084" i="20"/>
  <c r="P325" i="13"/>
  <c r="P1008" i="13"/>
  <c r="P1268" i="13"/>
  <c r="P1288" i="13"/>
  <c r="P1449" i="13"/>
  <c r="G48" i="36"/>
  <c r="I1624" i="20"/>
  <c r="F911" i="20"/>
  <c r="D912" i="20" s="1"/>
  <c r="E912" i="20" s="1"/>
  <c r="F912" i="20" s="1"/>
  <c r="D913" i="20" s="1"/>
  <c r="E913" i="20" s="1"/>
  <c r="F913" i="20" s="1"/>
  <c r="D914" i="20" s="1"/>
  <c r="E914" i="20" s="1"/>
  <c r="G23" i="37"/>
  <c r="P288" i="13"/>
  <c r="P300" i="13"/>
  <c r="P304" i="13"/>
  <c r="P1781" i="13"/>
  <c r="P1862" i="13"/>
  <c r="P1866" i="13"/>
  <c r="P1870" i="13"/>
  <c r="P1874" i="13"/>
  <c r="P1878" i="13"/>
  <c r="P1882" i="13"/>
  <c r="P1886" i="13"/>
  <c r="P1890" i="13"/>
  <c r="P1894" i="13"/>
  <c r="P1937" i="13"/>
  <c r="P1941" i="13"/>
  <c r="P1957" i="13"/>
  <c r="P1961" i="13"/>
  <c r="P1969" i="13"/>
  <c r="P1973" i="13"/>
  <c r="P1985" i="13"/>
  <c r="G21" i="36"/>
  <c r="G36" i="36"/>
  <c r="G50" i="37"/>
  <c r="G48" i="37"/>
  <c r="G19" i="39"/>
  <c r="H29" i="39"/>
  <c r="H37" i="39"/>
  <c r="G19" i="5"/>
  <c r="P1520" i="13"/>
  <c r="E79" i="34"/>
  <c r="P128" i="13"/>
  <c r="G22" i="37"/>
  <c r="H188" i="34"/>
  <c r="H213" i="34" s="1"/>
  <c r="H216" i="34" s="1"/>
  <c r="G43" i="11"/>
  <c r="G49" i="5"/>
  <c r="G51" i="5" s="1"/>
  <c r="P1088" i="13"/>
  <c r="F52" i="34"/>
  <c r="F57" i="34" s="1"/>
  <c r="F60" i="34" s="1"/>
  <c r="F65" i="34" s="1"/>
  <c r="C53" i="34"/>
  <c r="C203" i="34" s="1"/>
  <c r="G35" i="36"/>
  <c r="P323" i="13"/>
  <c r="E18" i="2"/>
  <c r="C52" i="34"/>
  <c r="C80" i="34" s="1"/>
  <c r="F23" i="36"/>
  <c r="P296" i="13"/>
  <c r="P462" i="13"/>
  <c r="P466" i="13"/>
  <c r="P470" i="13"/>
  <c r="P729" i="13"/>
  <c r="P741" i="13"/>
  <c r="P1428" i="13"/>
  <c r="P1773" i="13"/>
  <c r="E101" i="2"/>
  <c r="P301" i="13"/>
  <c r="P329" i="13"/>
  <c r="P746" i="13"/>
  <c r="F38" i="34"/>
  <c r="F53" i="34" s="1"/>
  <c r="F203" i="34" s="1"/>
  <c r="P217" i="13"/>
  <c r="P1955" i="13"/>
  <c r="P1855" i="13"/>
  <c r="P1494" i="13"/>
  <c r="G18" i="37"/>
  <c r="P1939" i="13"/>
  <c r="G31" i="36"/>
  <c r="G20" i="36"/>
  <c r="G34" i="36"/>
  <c r="G44" i="36"/>
  <c r="G61" i="36"/>
  <c r="G20" i="37"/>
  <c r="E22" i="31"/>
  <c r="G163" i="2" s="1"/>
  <c r="P1801" i="13"/>
  <c r="P1809" i="13"/>
  <c r="P731" i="13"/>
  <c r="P739" i="13"/>
  <c r="P1108" i="13"/>
  <c r="P1515" i="13"/>
  <c r="P1859" i="13"/>
  <c r="H139" i="34"/>
  <c r="J25" i="34"/>
  <c r="E53" i="11"/>
  <c r="E55" i="11" s="1"/>
  <c r="E19" i="5"/>
  <c r="P390" i="13"/>
  <c r="P394" i="13"/>
  <c r="P398" i="13"/>
  <c r="P1071" i="13"/>
  <c r="P1589" i="13"/>
  <c r="P1593" i="13"/>
  <c r="P1597" i="13"/>
  <c r="P1601" i="13"/>
  <c r="P1609" i="13"/>
  <c r="P1613" i="13"/>
  <c r="P1625" i="13"/>
  <c r="P1629" i="13"/>
  <c r="P1633" i="13"/>
  <c r="P1100" i="13"/>
  <c r="P1507" i="13"/>
  <c r="P1535" i="13"/>
  <c r="N350" i="13"/>
  <c r="G43" i="5"/>
  <c r="P187" i="13"/>
  <c r="P209" i="13"/>
  <c r="P213" i="13"/>
  <c r="P221" i="13"/>
  <c r="P225" i="13"/>
  <c r="P229" i="13"/>
  <c r="P241" i="13"/>
  <c r="P245" i="13"/>
  <c r="P481" i="13"/>
  <c r="P493" i="13"/>
  <c r="P1418" i="13"/>
  <c r="P1422" i="13"/>
  <c r="P1426" i="13"/>
  <c r="P1959" i="13"/>
  <c r="J31" i="34"/>
  <c r="P1359" i="13"/>
  <c r="P1503" i="13"/>
  <c r="E102" i="2"/>
  <c r="G32" i="34"/>
  <c r="G53" i="34" s="1"/>
  <c r="G203" i="34" s="1"/>
  <c r="G31" i="6"/>
  <c r="G106" i="2" s="1"/>
  <c r="L106" i="2" s="1"/>
  <c r="I23" i="31"/>
  <c r="G46" i="37"/>
  <c r="P484" i="13"/>
  <c r="G39" i="36"/>
  <c r="M350" i="13"/>
  <c r="P127" i="13"/>
  <c r="P727" i="13"/>
  <c r="P743" i="13"/>
  <c r="K43" i="11"/>
  <c r="G165" i="2" s="1"/>
  <c r="P559" i="13"/>
  <c r="P575" i="13"/>
  <c r="P579" i="13"/>
  <c r="P595" i="13"/>
  <c r="P809" i="13"/>
  <c r="P825" i="13"/>
  <c r="P1936" i="13"/>
  <c r="P1944" i="13"/>
  <c r="P1948" i="13"/>
  <c r="P1952" i="13"/>
  <c r="P1956" i="13"/>
  <c r="P1960" i="13"/>
  <c r="P1964" i="13"/>
  <c r="P1968" i="13"/>
  <c r="P1972" i="13"/>
  <c r="P1976" i="13"/>
  <c r="P1980" i="13"/>
  <c r="G49" i="36"/>
  <c r="P476" i="13"/>
  <c r="P723" i="13"/>
  <c r="P747" i="13"/>
  <c r="P1523" i="13"/>
  <c r="J196" i="34"/>
  <c r="P150" i="13"/>
  <c r="F87" i="38"/>
  <c r="G97" i="2" s="1"/>
  <c r="P1247" i="13"/>
  <c r="P1271" i="13"/>
  <c r="P1279" i="13"/>
  <c r="P1608" i="13"/>
  <c r="P1691" i="13"/>
  <c r="P1695" i="13"/>
  <c r="P1703" i="13"/>
  <c r="P1715" i="13"/>
  <c r="P1719" i="13"/>
  <c r="P1723" i="13"/>
  <c r="G45" i="37"/>
  <c r="C64" i="36"/>
  <c r="E71" i="36"/>
  <c r="P632" i="13"/>
  <c r="P656" i="13"/>
  <c r="P680" i="13"/>
  <c r="P1167" i="13"/>
  <c r="P1183" i="13"/>
  <c r="P1335" i="13"/>
  <c r="P1363" i="13"/>
  <c r="P1425" i="13"/>
  <c r="P1441" i="13"/>
  <c r="P1526" i="13"/>
  <c r="E103" i="2"/>
  <c r="G17" i="5"/>
  <c r="C188" i="34"/>
  <c r="C213" i="34" s="1"/>
  <c r="I1804" i="20"/>
  <c r="I634" i="20"/>
  <c r="I184" i="20"/>
  <c r="N872" i="13"/>
  <c r="G43" i="36"/>
  <c r="P375" i="13"/>
  <c r="P379" i="13"/>
  <c r="P383" i="13"/>
  <c r="P391" i="13"/>
  <c r="P399" i="13"/>
  <c r="P464" i="13"/>
  <c r="P468" i="13"/>
  <c r="P818" i="13"/>
  <c r="P822" i="13"/>
  <c r="P854" i="13"/>
  <c r="P895" i="13"/>
  <c r="P903" i="13"/>
  <c r="P915" i="13"/>
  <c r="P923" i="13"/>
  <c r="P943" i="13"/>
  <c r="P1264" i="13"/>
  <c r="G67" i="36"/>
  <c r="P668" i="13"/>
  <c r="P1371" i="13"/>
  <c r="P1461" i="13"/>
  <c r="E67" i="2"/>
  <c r="E133" i="2"/>
  <c r="G25" i="5"/>
  <c r="K71" i="36"/>
  <c r="K77" i="36" s="1"/>
  <c r="G89" i="36"/>
  <c r="P900" i="13"/>
  <c r="P904" i="13"/>
  <c r="P1009" i="13"/>
  <c r="P1013" i="13"/>
  <c r="P1017" i="13"/>
  <c r="P1782" i="13"/>
  <c r="P1786" i="13"/>
  <c r="P1794" i="13"/>
  <c r="P1798" i="13"/>
  <c r="P1802" i="13"/>
  <c r="P1806" i="13"/>
  <c r="P1887" i="13"/>
  <c r="G65" i="36"/>
  <c r="G49" i="37"/>
  <c r="Q27" i="42"/>
  <c r="D23" i="39"/>
  <c r="E74" i="39" s="1"/>
  <c r="E76" i="39" s="1"/>
  <c r="P652" i="13"/>
  <c r="P660" i="13"/>
  <c r="P1175" i="13"/>
  <c r="P1199" i="13"/>
  <c r="P1339" i="13"/>
  <c r="P1437" i="13"/>
  <c r="P1457" i="13"/>
  <c r="P1542" i="13"/>
  <c r="A29" i="38"/>
  <c r="A30" i="38" s="1"/>
  <c r="A31" i="38" s="1"/>
  <c r="A32" i="38" s="1"/>
  <c r="A33" i="38" s="1"/>
  <c r="A34" i="38" s="1"/>
  <c r="A35" i="38" s="1"/>
  <c r="A36" i="38" s="1"/>
  <c r="A37" i="38" s="1"/>
  <c r="A38" i="38" s="1"/>
  <c r="A39" i="38" s="1"/>
  <c r="A40" i="38" s="1"/>
  <c r="A41" i="38" s="1"/>
  <c r="A42" i="38" s="1"/>
  <c r="E72" i="2" s="1"/>
  <c r="I274" i="20"/>
  <c r="I544" i="20"/>
  <c r="I1264" i="20"/>
  <c r="F1541" i="20"/>
  <c r="D1542" i="20" s="1"/>
  <c r="E1542" i="20" s="1"/>
  <c r="P554" i="13"/>
  <c r="P562" i="13"/>
  <c r="P582" i="13"/>
  <c r="P590" i="13"/>
  <c r="P1096" i="13"/>
  <c r="P1155" i="13"/>
  <c r="P1433" i="13"/>
  <c r="P1453" i="13"/>
  <c r="P1514" i="13"/>
  <c r="P1550" i="13"/>
  <c r="E65" i="2"/>
  <c r="I364" i="20"/>
  <c r="I1444" i="20"/>
  <c r="I994" i="20"/>
  <c r="E66" i="2"/>
  <c r="C91" i="36"/>
  <c r="I52" i="5"/>
  <c r="L90" i="2" s="1"/>
  <c r="G60" i="36"/>
  <c r="I71" i="36"/>
  <c r="I77" i="36" s="1"/>
  <c r="P1159" i="13"/>
  <c r="P1179" i="13"/>
  <c r="P1367" i="13"/>
  <c r="P1429" i="13"/>
  <c r="I94" i="20"/>
  <c r="I724" i="20"/>
  <c r="I1354" i="20"/>
  <c r="I904" i="20"/>
  <c r="M175" i="13"/>
  <c r="G74" i="36"/>
  <c r="P650" i="13"/>
  <c r="G29" i="36"/>
  <c r="I1983" i="20"/>
  <c r="I1714" i="20"/>
  <c r="M872" i="13"/>
  <c r="I1534" i="20"/>
  <c r="J31" i="6"/>
  <c r="G104" i="2" s="1"/>
  <c r="G79" i="34"/>
  <c r="J101" i="34"/>
  <c r="J150" i="34" s="1"/>
  <c r="I188" i="34"/>
  <c r="I213" i="34" s="1"/>
  <c r="J194" i="34"/>
  <c r="P675" i="13"/>
  <c r="P1893" i="13"/>
  <c r="G47" i="37"/>
  <c r="B63" i="34"/>
  <c r="A16" i="34"/>
  <c r="B13" i="34" s="1"/>
  <c r="N1046" i="13"/>
  <c r="C1088" i="13"/>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C1108" i="13" s="1"/>
  <c r="C1109" i="13" s="1"/>
  <c r="C1110" i="13" s="1"/>
  <c r="C1111" i="13" s="1"/>
  <c r="C1112" i="13" s="1"/>
  <c r="C1113" i="13" s="1"/>
  <c r="C1114" i="13" s="1"/>
  <c r="C1115" i="13" s="1"/>
  <c r="C1116" i="13" s="1"/>
  <c r="C1117" i="13" s="1"/>
  <c r="G22" i="41"/>
  <c r="G23" i="41" s="1"/>
  <c r="I21" i="41"/>
  <c r="L21" i="41" s="1"/>
  <c r="N1655" i="13"/>
  <c r="N785" i="13"/>
  <c r="C827" i="13"/>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C856" i="13" s="1"/>
  <c r="J43" i="34"/>
  <c r="I43" i="11"/>
  <c r="G161" i="2" s="1"/>
  <c r="D33" i="9"/>
  <c r="G131" i="2" s="1"/>
  <c r="L41" i="2" s="1"/>
  <c r="G41" i="5"/>
  <c r="P654" i="13"/>
  <c r="P674" i="13"/>
  <c r="P889" i="13"/>
  <c r="P897" i="13"/>
  <c r="P905" i="13"/>
  <c r="P909" i="13"/>
  <c r="P913" i="13"/>
  <c r="P917" i="13"/>
  <c r="P925" i="13"/>
  <c r="P933" i="13"/>
  <c r="P1417" i="13"/>
  <c r="P1421" i="13"/>
  <c r="P1592" i="13"/>
  <c r="G47" i="36"/>
  <c r="P27" i="42"/>
  <c r="P1933" i="13"/>
  <c r="J130" i="34"/>
  <c r="D73" i="9"/>
  <c r="L1654" i="13"/>
  <c r="M1046" i="13"/>
  <c r="I1894" i="20"/>
  <c r="F79" i="34"/>
  <c r="E49" i="5"/>
  <c r="E51" i="5" s="1"/>
  <c r="K52" i="37"/>
  <c r="C52" i="37"/>
  <c r="P286" i="13"/>
  <c r="P298" i="13"/>
  <c r="P302" i="13"/>
  <c r="P635" i="13"/>
  <c r="P1019" i="13"/>
  <c r="P1770" i="13"/>
  <c r="G32" i="36"/>
  <c r="I52" i="36"/>
  <c r="P1962" i="13"/>
  <c r="I34" i="5"/>
  <c r="H35" i="39"/>
  <c r="H38" i="39"/>
  <c r="H41" i="39"/>
  <c r="C23" i="38"/>
  <c r="G63" i="2" s="1"/>
  <c r="L204" i="2" s="1"/>
  <c r="G23" i="38"/>
  <c r="G67" i="2" s="1"/>
  <c r="I52" i="37"/>
  <c r="C52" i="36"/>
  <c r="J91" i="36"/>
  <c r="M437" i="13"/>
  <c r="P497" i="13"/>
  <c r="P501" i="13"/>
  <c r="P505" i="13"/>
  <c r="P1078" i="13"/>
  <c r="P1082" i="13"/>
  <c r="P1176" i="13"/>
  <c r="P1963" i="13"/>
  <c r="E64" i="9"/>
  <c r="D33" i="40"/>
  <c r="G146" i="2" s="1"/>
  <c r="G147" i="2" s="1"/>
  <c r="P388" i="13"/>
  <c r="P396" i="13"/>
  <c r="P404" i="13"/>
  <c r="P408" i="13"/>
  <c r="P1552" i="13"/>
  <c r="G30" i="36"/>
  <c r="I27" i="8"/>
  <c r="I31" i="8" s="1"/>
  <c r="G52" i="34"/>
  <c r="N1916" i="13"/>
  <c r="I166" i="34"/>
  <c r="H199" i="34"/>
  <c r="J14" i="34"/>
  <c r="J63" i="34" s="1"/>
  <c r="G40" i="36"/>
  <c r="E21" i="35"/>
  <c r="E22" i="35" s="1"/>
  <c r="P637" i="13"/>
  <c r="P669" i="13"/>
  <c r="P681" i="13"/>
  <c r="P728" i="13"/>
  <c r="P815" i="13"/>
  <c r="P843" i="13"/>
  <c r="P1713" i="13"/>
  <c r="E17" i="5"/>
  <c r="H166" i="34"/>
  <c r="G199" i="34"/>
  <c r="J197" i="34"/>
  <c r="J195" i="34"/>
  <c r="J131" i="34"/>
  <c r="G28" i="36"/>
  <c r="P1497" i="13"/>
  <c r="G166" i="34"/>
  <c r="F199" i="34"/>
  <c r="F188" i="34"/>
  <c r="F213" i="34" s="1"/>
  <c r="F216" i="34" s="1"/>
  <c r="F218" i="34" s="1"/>
  <c r="I37" i="31"/>
  <c r="F80" i="38"/>
  <c r="G95" i="2" s="1"/>
  <c r="L95" i="2" s="1"/>
  <c r="P1378" i="13"/>
  <c r="G68" i="36"/>
  <c r="A29" i="39"/>
  <c r="A30" i="39" s="1"/>
  <c r="A31" i="39" s="1"/>
  <c r="A32" i="39" s="1"/>
  <c r="A33" i="39" s="1"/>
  <c r="A34" i="39" s="1"/>
  <c r="A35" i="39" s="1"/>
  <c r="A36" i="39" s="1"/>
  <c r="A37" i="39" s="1"/>
  <c r="A38" i="39" s="1"/>
  <c r="A39" i="39" s="1"/>
  <c r="A40" i="39" s="1"/>
  <c r="A41" i="39" s="1"/>
  <c r="A42" i="39" s="1"/>
  <c r="A48" i="39" s="1"/>
  <c r="A49" i="39" s="1"/>
  <c r="E226" i="2"/>
  <c r="E227" i="2"/>
  <c r="B74" i="39"/>
  <c r="E228" i="2"/>
  <c r="E229" i="2"/>
  <c r="C1001" i="13"/>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C1027" i="13" s="1"/>
  <c r="C1028" i="13" s="1"/>
  <c r="C1029" i="13" s="1"/>
  <c r="C1030" i="13" s="1"/>
  <c r="N959" i="13"/>
  <c r="M959" i="13"/>
  <c r="E95" i="2"/>
  <c r="A84" i="38"/>
  <c r="A87" i="38" s="1"/>
  <c r="F48" i="13"/>
  <c r="G48" i="20"/>
  <c r="I30" i="31"/>
  <c r="P1774" i="13"/>
  <c r="P1778" i="13"/>
  <c r="P1790" i="13"/>
  <c r="P1934" i="13"/>
  <c r="P1950" i="13"/>
  <c r="P1958" i="13"/>
  <c r="P1966" i="13"/>
  <c r="P1978" i="13"/>
  <c r="C23" i="39"/>
  <c r="L226" i="2" s="1"/>
  <c r="G11" i="39"/>
  <c r="G17" i="36"/>
  <c r="M1916" i="13"/>
  <c r="H50" i="34"/>
  <c r="H53" i="34" s="1"/>
  <c r="H203" i="34" s="1"/>
  <c r="J49" i="34"/>
  <c r="P1946" i="13"/>
  <c r="P1954" i="13"/>
  <c r="P1970" i="13"/>
  <c r="E42" i="38"/>
  <c r="G73" i="2" s="1"/>
  <c r="J112" i="34"/>
  <c r="C199" i="34"/>
  <c r="J193" i="34"/>
  <c r="I199" i="34"/>
  <c r="C139" i="34"/>
  <c r="E125" i="34"/>
  <c r="E140" i="34" s="1"/>
  <c r="E139" i="34"/>
  <c r="A78" i="36"/>
  <c r="D35" i="5"/>
  <c r="G19" i="37"/>
  <c r="N698" i="13"/>
  <c r="C740" i="13"/>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769" i="13" s="1"/>
  <c r="M698" i="13"/>
  <c r="P891" i="13"/>
  <c r="P1590" i="13"/>
  <c r="P1594" i="13"/>
  <c r="P1598" i="13"/>
  <c r="P1618" i="13"/>
  <c r="P1630" i="13"/>
  <c r="M1655" i="13"/>
  <c r="C1697" i="13"/>
  <c r="C1698" i="13" s="1"/>
  <c r="C1699" i="13" s="1"/>
  <c r="C1700" i="13" s="1"/>
  <c r="C1701" i="13" s="1"/>
  <c r="C1702" i="13" s="1"/>
  <c r="C1703" i="13" s="1"/>
  <c r="C1704" i="13" s="1"/>
  <c r="C1705" i="13" s="1"/>
  <c r="C1706" i="13" s="1"/>
  <c r="C1707" i="13" s="1"/>
  <c r="C1708" i="13" s="1"/>
  <c r="C1709" i="13" s="1"/>
  <c r="C1710" i="13" s="1"/>
  <c r="C1711" i="13" s="1"/>
  <c r="C1712" i="13" s="1"/>
  <c r="C1713" i="13" s="1"/>
  <c r="C1714" i="13" s="1"/>
  <c r="C1715" i="13" s="1"/>
  <c r="C1716" i="13" s="1"/>
  <c r="C1717" i="13" s="1"/>
  <c r="C1718" i="13" s="1"/>
  <c r="C1719" i="13" s="1"/>
  <c r="C1720" i="13" s="1"/>
  <c r="C1721" i="13" s="1"/>
  <c r="C1722" i="13" s="1"/>
  <c r="C1723" i="13" s="1"/>
  <c r="C1724" i="13" s="1"/>
  <c r="C1725" i="13" s="1"/>
  <c r="C1726" i="13" s="1"/>
  <c r="P1676" i="13"/>
  <c r="P1684" i="13"/>
  <c r="L1828" i="13"/>
  <c r="M1829" i="13"/>
  <c r="I79" i="6"/>
  <c r="I30" i="6" s="1"/>
  <c r="D55" i="6"/>
  <c r="D29" i="6" s="1"/>
  <c r="D31" i="6" s="1"/>
  <c r="E44" i="9"/>
  <c r="D44" i="9"/>
  <c r="E42" i="39"/>
  <c r="G217" i="2"/>
  <c r="H213" i="2"/>
  <c r="H217" i="2" s="1"/>
  <c r="G42" i="38"/>
  <c r="G75" i="2" s="1"/>
  <c r="E52" i="36"/>
  <c r="A75" i="36"/>
  <c r="F137" i="34"/>
  <c r="J137" i="34" s="1"/>
  <c r="J136" i="34"/>
  <c r="H63" i="34"/>
  <c r="H79" i="34"/>
  <c r="G88" i="36"/>
  <c r="D91" i="36"/>
  <c r="P1349" i="13"/>
  <c r="P1357" i="13"/>
  <c r="L1219" i="13"/>
  <c r="N1220" i="13"/>
  <c r="M1220" i="13"/>
  <c r="D64" i="9"/>
  <c r="C479" i="13"/>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C508" i="13" s="1"/>
  <c r="N437" i="13"/>
  <c r="G35" i="5"/>
  <c r="G33" i="5"/>
  <c r="E93" i="2"/>
  <c r="C217" i="13"/>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N175" i="13"/>
  <c r="N1394" i="13"/>
  <c r="M1394" i="13"/>
  <c r="L1741" i="13"/>
  <c r="N1742" i="13"/>
  <c r="M1742" i="13"/>
  <c r="B23" i="7"/>
  <c r="C119" i="34"/>
  <c r="E28" i="2"/>
  <c r="B28" i="2"/>
  <c r="B30" i="2" s="1"/>
  <c r="B31" i="2" s="1"/>
  <c r="C70" i="20" s="1"/>
  <c r="M17" i="11"/>
  <c r="M43" i="11" s="1"/>
  <c r="G164" i="2" s="1"/>
  <c r="L164" i="2" s="1"/>
  <c r="E43" i="11"/>
  <c r="E44" i="34"/>
  <c r="J44" i="34" s="1"/>
  <c r="I61" i="11"/>
  <c r="I63" i="11" s="1"/>
  <c r="I65" i="11" s="1"/>
  <c r="I53" i="11"/>
  <c r="I55" i="11" s="1"/>
  <c r="J198" i="34"/>
  <c r="M524" i="13"/>
  <c r="C566" i="13"/>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C595" i="13" s="1"/>
  <c r="P1162" i="13"/>
  <c r="N1829" i="13"/>
  <c r="C1871" i="13"/>
  <c r="C1872" i="13" s="1"/>
  <c r="C1873" i="13" s="1"/>
  <c r="C1874" i="13" s="1"/>
  <c r="C1875" i="13" s="1"/>
  <c r="C1876" i="13" s="1"/>
  <c r="C1877" i="13" s="1"/>
  <c r="C1878" i="13" s="1"/>
  <c r="C1879" i="13" s="1"/>
  <c r="C1880" i="13" s="1"/>
  <c r="C1881" i="13" s="1"/>
  <c r="C1882" i="13" s="1"/>
  <c r="C1883" i="13" s="1"/>
  <c r="C1884" i="13" s="1"/>
  <c r="C1885" i="13" s="1"/>
  <c r="C1886" i="13" s="1"/>
  <c r="C1887" i="13" s="1"/>
  <c r="C1888" i="13" s="1"/>
  <c r="C1889" i="13" s="1"/>
  <c r="C1890" i="13" s="1"/>
  <c r="C1891" i="13" s="1"/>
  <c r="C1892" i="13" s="1"/>
  <c r="C1893" i="13" s="1"/>
  <c r="C1894" i="13" s="1"/>
  <c r="C1895" i="13" s="1"/>
  <c r="C1896" i="13" s="1"/>
  <c r="C1897" i="13" s="1"/>
  <c r="C1898" i="13" s="1"/>
  <c r="C1899" i="13" s="1"/>
  <c r="C1900" i="13" s="1"/>
  <c r="N263" i="13"/>
  <c r="M785" i="13"/>
  <c r="A48" i="11"/>
  <c r="A50" i="11" s="1"/>
  <c r="E165" i="2"/>
  <c r="E161" i="2"/>
  <c r="M263" i="13"/>
  <c r="C305" i="13"/>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C653" i="13"/>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C681" i="13" s="1"/>
  <c r="C682" i="13" s="1"/>
  <c r="M611" i="13"/>
  <c r="D20" i="5"/>
  <c r="A20" i="5"/>
  <c r="E86" i="2" s="1"/>
  <c r="E163" i="2"/>
  <c r="A23" i="31"/>
  <c r="I119" i="34"/>
  <c r="I140" i="34" s="1"/>
  <c r="I139" i="34"/>
  <c r="G125" i="34"/>
  <c r="G140" i="34" s="1"/>
  <c r="G139" i="34"/>
  <c r="S22" i="21"/>
  <c r="E23" i="36"/>
  <c r="G19" i="36"/>
  <c r="C1175" i="13"/>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C1194" i="13" s="1"/>
  <c r="C1195" i="13" s="1"/>
  <c r="C1196" i="13" s="1"/>
  <c r="C1197" i="13" s="1"/>
  <c r="C1198" i="13" s="1"/>
  <c r="C1199" i="13" s="1"/>
  <c r="C1200" i="13" s="1"/>
  <c r="C1201" i="13" s="1"/>
  <c r="C1202" i="13" s="1"/>
  <c r="C1203" i="13" s="1"/>
  <c r="C1204" i="13" s="1"/>
  <c r="N1133" i="13"/>
  <c r="M1133" i="13"/>
  <c r="P1849" i="13"/>
  <c r="P1857" i="13"/>
  <c r="P1861" i="13"/>
  <c r="P1881" i="13"/>
  <c r="P1885" i="13"/>
  <c r="P1897" i="13"/>
  <c r="O1483" i="13"/>
  <c r="F166" i="34"/>
  <c r="C150" i="34"/>
  <c r="E188" i="34"/>
  <c r="E213" i="34" s="1"/>
  <c r="S27" i="21"/>
  <c r="G57" i="36"/>
  <c r="P720" i="13"/>
  <c r="P724" i="13"/>
  <c r="P732" i="13"/>
  <c r="P736" i="13"/>
  <c r="P756" i="13"/>
  <c r="P764" i="13"/>
  <c r="P1244" i="13"/>
  <c r="P1248" i="13"/>
  <c r="P1252" i="13"/>
  <c r="P1971" i="13"/>
  <c r="P1975" i="13"/>
  <c r="P1979" i="13"/>
  <c r="J19" i="43"/>
  <c r="K52" i="36"/>
  <c r="G27" i="5"/>
  <c r="C42" i="38"/>
  <c r="K91" i="36"/>
  <c r="G17" i="37"/>
  <c r="P1086" i="13"/>
  <c r="P114" i="13"/>
  <c r="P118" i="13"/>
  <c r="P122" i="13"/>
  <c r="P138" i="13"/>
  <c r="P142" i="13"/>
  <c r="P154" i="13"/>
  <c r="P158" i="13"/>
  <c r="P833" i="13"/>
  <c r="P841" i="13"/>
  <c r="P849" i="13"/>
  <c r="P1726" i="13"/>
  <c r="P1788" i="13"/>
  <c r="P1875" i="13"/>
  <c r="P1883" i="13"/>
  <c r="H140" i="34"/>
  <c r="J118" i="34"/>
  <c r="P1103" i="13"/>
  <c r="P1115" i="13"/>
  <c r="I91" i="36"/>
  <c r="P1068" i="13"/>
  <c r="P1076" i="13"/>
  <c r="P1080" i="13"/>
  <c r="P1104" i="13"/>
  <c r="G41" i="36"/>
  <c r="N1568" i="13"/>
  <c r="C1610" i="13"/>
  <c r="C1611" i="13" s="1"/>
  <c r="C1612" i="13" s="1"/>
  <c r="C1613" i="13" s="1"/>
  <c r="C1614" i="13" s="1"/>
  <c r="C1615" i="13" s="1"/>
  <c r="C1616" i="13" s="1"/>
  <c r="C1617" i="13" s="1"/>
  <c r="C1618" i="13" s="1"/>
  <c r="C1619" i="13" s="1"/>
  <c r="C1620" i="13" s="1"/>
  <c r="C1621" i="13" s="1"/>
  <c r="C1622" i="13" s="1"/>
  <c r="C1623" i="13" s="1"/>
  <c r="C1624" i="13" s="1"/>
  <c r="C1625" i="13" s="1"/>
  <c r="C1626" i="13" s="1"/>
  <c r="C1627" i="13" s="1"/>
  <c r="C1628" i="13" s="1"/>
  <c r="C1629" i="13" s="1"/>
  <c r="C1630" i="13" s="1"/>
  <c r="C1631" i="13" s="1"/>
  <c r="C1632" i="13" s="1"/>
  <c r="C1633" i="13" s="1"/>
  <c r="C1634" i="13" s="1"/>
  <c r="C1635" i="13" s="1"/>
  <c r="C1636" i="13" s="1"/>
  <c r="C1637" i="13" s="1"/>
  <c r="C1638" i="13" s="1"/>
  <c r="C1639" i="13" s="1"/>
  <c r="M1568" i="13"/>
  <c r="A70" i="6"/>
  <c r="A71" i="6" s="1"/>
  <c r="A72" i="6"/>
  <c r="A73" i="6" s="1"/>
  <c r="A74" i="6" s="1"/>
  <c r="A75" i="6" s="1"/>
  <c r="A76" i="6" s="1"/>
  <c r="A77" i="6" s="1"/>
  <c r="A78" i="6" s="1"/>
  <c r="G25" i="35"/>
  <c r="E104" i="2"/>
  <c r="E105" i="2"/>
  <c r="E107" i="2"/>
  <c r="E106" i="2"/>
  <c r="E73" i="9"/>
  <c r="A36" i="9"/>
  <c r="A37" i="9" s="1"/>
  <c r="A38" i="9" s="1"/>
  <c r="A39" i="9" s="1"/>
  <c r="A40" i="9" s="1"/>
  <c r="A41" i="9" s="1"/>
  <c r="A44" i="9" s="1"/>
  <c r="E131" i="2"/>
  <c r="C130" i="13"/>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N88" i="13"/>
  <c r="E52" i="37"/>
  <c r="C125" i="34"/>
  <c r="J124" i="34"/>
  <c r="E199" i="34"/>
  <c r="C79" i="34"/>
  <c r="J37" i="34"/>
  <c r="E38" i="34"/>
  <c r="E32" i="34"/>
  <c r="E52" i="34"/>
  <c r="P1496" i="13"/>
  <c r="S17" i="21"/>
  <c r="O33" i="21"/>
  <c r="G187" i="2" s="1"/>
  <c r="F139" i="34"/>
  <c r="E166" i="34"/>
  <c r="G188" i="34"/>
  <c r="I52" i="34"/>
  <c r="I38" i="34"/>
  <c r="I53" i="34" s="1"/>
  <c r="I203" i="34" s="1"/>
  <c r="J188" i="34"/>
  <c r="J213" i="34" s="1"/>
  <c r="H52" i="34"/>
  <c r="A22" i="40"/>
  <c r="A23" i="40" s="1"/>
  <c r="F29" i="10"/>
  <c r="F341" i="2" s="1"/>
  <c r="G169" i="2" s="1"/>
  <c r="G173" i="2" s="1"/>
  <c r="P112" i="13"/>
  <c r="P116" i="13"/>
  <c r="P136" i="13"/>
  <c r="P144" i="13"/>
  <c r="P148" i="13"/>
  <c r="P152" i="13"/>
  <c r="P156" i="13"/>
  <c r="K17" i="8"/>
  <c r="K27" i="8" s="1"/>
  <c r="K31" i="8" s="1"/>
  <c r="G15" i="2" s="1"/>
  <c r="L15" i="2" s="1"/>
  <c r="D23" i="38"/>
  <c r="G64" i="2" s="1"/>
  <c r="E23" i="38"/>
  <c r="G65" i="2" s="1"/>
  <c r="P200" i="13"/>
  <c r="P208" i="13"/>
  <c r="P220" i="13"/>
  <c r="P232" i="13"/>
  <c r="P236" i="13"/>
  <c r="P244" i="13"/>
  <c r="P290" i="13"/>
  <c r="P294" i="13"/>
  <c r="P420" i="13"/>
  <c r="P471" i="13"/>
  <c r="P507" i="13"/>
  <c r="P549" i="13"/>
  <c r="P553" i="13"/>
  <c r="P557" i="13"/>
  <c r="P565" i="13"/>
  <c r="P569" i="13"/>
  <c r="P573" i="13"/>
  <c r="P577" i="13"/>
  <c r="P581" i="13"/>
  <c r="P589" i="13"/>
  <c r="P593" i="13"/>
  <c r="P644" i="13"/>
  <c r="P721" i="13"/>
  <c r="P725" i="13"/>
  <c r="P807" i="13"/>
  <c r="P811" i="13"/>
  <c r="P827" i="13"/>
  <c r="P835" i="13"/>
  <c r="F23" i="38"/>
  <c r="G66" i="2" s="1"/>
  <c r="D42" i="38"/>
  <c r="G72" i="2" s="1"/>
  <c r="P633" i="13"/>
  <c r="P641" i="13"/>
  <c r="P722" i="13"/>
  <c r="P726" i="13"/>
  <c r="P730" i="13"/>
  <c r="P742" i="13"/>
  <c r="P750" i="13"/>
  <c r="P754" i="13"/>
  <c r="P758" i="13"/>
  <c r="F42" i="38"/>
  <c r="G74" i="2" s="1"/>
  <c r="J52" i="36"/>
  <c r="P292" i="13"/>
  <c r="P313" i="13"/>
  <c r="P317" i="13"/>
  <c r="P995" i="13"/>
  <c r="P999" i="13"/>
  <c r="P1003" i="13"/>
  <c r="P1011" i="13"/>
  <c r="P1027" i="13"/>
  <c r="P1688" i="13"/>
  <c r="P1712" i="13"/>
  <c r="P902" i="13"/>
  <c r="P906" i="13"/>
  <c r="P910" i="13"/>
  <c r="P918" i="13"/>
  <c r="P926" i="13"/>
  <c r="P938" i="13"/>
  <c r="P1069" i="13"/>
  <c r="P1085" i="13"/>
  <c r="P1101" i="13"/>
  <c r="P1105" i="13"/>
  <c r="P1113" i="13"/>
  <c r="P1158" i="13"/>
  <c r="P1166" i="13"/>
  <c r="P1174" i="13"/>
  <c r="P1182" i="13"/>
  <c r="P1202" i="13"/>
  <c r="P1261" i="13"/>
  <c r="P1265" i="13"/>
  <c r="P1361" i="13"/>
  <c r="P1365" i="13"/>
  <c r="G12" i="39"/>
  <c r="D20" i="40"/>
  <c r="P1114" i="13"/>
  <c r="P1506" i="13"/>
  <c r="P1250" i="13"/>
  <c r="P1622" i="13"/>
  <c r="P1634" i="13"/>
  <c r="P1766" i="13"/>
  <c r="P1810" i="13"/>
  <c r="P1611" i="13"/>
  <c r="P1679" i="13"/>
  <c r="P1683" i="13"/>
  <c r="P1872" i="13"/>
  <c r="P306" i="13"/>
  <c r="P308" i="13"/>
  <c r="P310" i="13"/>
  <c r="P312" i="13"/>
  <c r="P314" i="13"/>
  <c r="P316" i="13"/>
  <c r="P318" i="13"/>
  <c r="P320" i="13"/>
  <c r="P322" i="13"/>
  <c r="P324" i="13"/>
  <c r="P326" i="13"/>
  <c r="P382" i="13"/>
  <c r="P384" i="13"/>
  <c r="P386" i="13"/>
  <c r="P402" i="13"/>
  <c r="P406" i="13"/>
  <c r="P410" i="13"/>
  <c r="P412" i="13"/>
  <c r="P414" i="13"/>
  <c r="P416" i="13"/>
  <c r="P418" i="13"/>
  <c r="P985" i="13"/>
  <c r="P987" i="13"/>
  <c r="P1253" i="13"/>
  <c r="P1255" i="13"/>
  <c r="P1269" i="13"/>
  <c r="P1273" i="13"/>
  <c r="P1275" i="13"/>
  <c r="P1277" i="13"/>
  <c r="P1351" i="13"/>
  <c r="P1430" i="13"/>
  <c r="P1432" i="13"/>
  <c r="P1436" i="13"/>
  <c r="P1438" i="13"/>
  <c r="P1452" i="13"/>
  <c r="P1454" i="13"/>
  <c r="P1458" i="13"/>
  <c r="P1525" i="13"/>
  <c r="P1527" i="13"/>
  <c r="P1529" i="13"/>
  <c r="P1072" i="13"/>
  <c r="P1195" i="13"/>
  <c r="P1639" i="13"/>
  <c r="P1707" i="13"/>
  <c r="P1709" i="13"/>
  <c r="P1711" i="13"/>
  <c r="P227" i="13"/>
  <c r="P231" i="13"/>
  <c r="P233" i="13"/>
  <c r="P237" i="13"/>
  <c r="P482" i="13"/>
  <c r="P500" i="13"/>
  <c r="P502" i="13"/>
  <c r="P508" i="13"/>
  <c r="P568" i="13"/>
  <c r="P572" i="13"/>
  <c r="P574" i="13"/>
  <c r="P576" i="13"/>
  <c r="P584" i="13"/>
  <c r="P586" i="13"/>
  <c r="P588" i="13"/>
  <c r="P592" i="13"/>
  <c r="P594" i="13"/>
  <c r="P643" i="13"/>
  <c r="P645" i="13"/>
  <c r="P655" i="13"/>
  <c r="P659" i="13"/>
  <c r="P661" i="13"/>
  <c r="P663" i="13"/>
  <c r="P665" i="13"/>
  <c r="P667" i="13"/>
  <c r="P671" i="13"/>
  <c r="P673" i="13"/>
  <c r="P1077" i="13"/>
  <c r="P1083" i="13"/>
  <c r="P1900" i="13"/>
  <c r="G13" i="39"/>
  <c r="G14" i="39"/>
  <c r="H40" i="39"/>
  <c r="P305" i="13"/>
  <c r="P222" i="13"/>
  <c r="P293" i="13"/>
  <c r="P297" i="13"/>
  <c r="P548" i="13"/>
  <c r="P550" i="13"/>
  <c r="P552" i="13"/>
  <c r="P640" i="13"/>
  <c r="P662" i="13"/>
  <c r="P664" i="13"/>
  <c r="P666" i="13"/>
  <c r="P670" i="13"/>
  <c r="P672" i="13"/>
  <c r="P676" i="13"/>
  <c r="P767" i="13"/>
  <c r="P1249" i="13"/>
  <c r="P1696" i="13"/>
  <c r="P1704" i="13"/>
  <c r="P1982" i="13"/>
  <c r="P1984" i="13"/>
  <c r="P1986" i="13"/>
  <c r="P133" i="13"/>
  <c r="P141" i="13"/>
  <c r="P143" i="13"/>
  <c r="P147" i="13"/>
  <c r="P149" i="13"/>
  <c r="P151" i="13"/>
  <c r="P153" i="13"/>
  <c r="P155" i="13"/>
  <c r="P157" i="13"/>
  <c r="P223" i="13"/>
  <c r="P307" i="13"/>
  <c r="P327" i="13"/>
  <c r="P331" i="13"/>
  <c r="P387" i="13"/>
  <c r="P403" i="13"/>
  <c r="P405" i="13"/>
  <c r="P407" i="13"/>
  <c r="P409" i="13"/>
  <c r="P411" i="13"/>
  <c r="P413" i="13"/>
  <c r="P415" i="13"/>
  <c r="P417" i="13"/>
  <c r="P419" i="13"/>
  <c r="P421" i="13"/>
  <c r="P463" i="13"/>
  <c r="P473" i="13"/>
  <c r="P475" i="13"/>
  <c r="P477" i="13"/>
  <c r="P479" i="13"/>
  <c r="P483" i="13"/>
  <c r="P485" i="13"/>
  <c r="P487" i="13"/>
  <c r="P489" i="13"/>
  <c r="P499" i="13"/>
  <c r="P563" i="13"/>
  <c r="P591" i="13"/>
  <c r="P813" i="13"/>
  <c r="P845" i="13"/>
  <c r="P847" i="13"/>
  <c r="P851" i="13"/>
  <c r="P853" i="13"/>
  <c r="P855" i="13"/>
  <c r="P893" i="13"/>
  <c r="P899" i="13"/>
  <c r="P1283" i="13"/>
  <c r="P1285" i="13"/>
  <c r="P1287" i="13"/>
  <c r="P1289" i="13"/>
  <c r="P1521" i="13"/>
  <c r="P1539" i="13"/>
  <c r="P1543" i="13"/>
  <c r="P1545" i="13"/>
  <c r="P1547" i="13"/>
  <c r="P1551" i="13"/>
  <c r="P1687" i="13"/>
  <c r="P1895" i="13"/>
  <c r="D42" i="39"/>
  <c r="F42" i="39"/>
  <c r="H39" i="39"/>
  <c r="P762" i="13"/>
  <c r="P814" i="13"/>
  <c r="P816" i="13"/>
  <c r="P820" i="13"/>
  <c r="P824" i="13"/>
  <c r="P826" i="13"/>
  <c r="P828" i="13"/>
  <c r="P830" i="13"/>
  <c r="P832" i="13"/>
  <c r="P834" i="13"/>
  <c r="P838" i="13"/>
  <c r="P840" i="13"/>
  <c r="P842" i="13"/>
  <c r="P984" i="13"/>
  <c r="P992" i="13"/>
  <c r="P996" i="13"/>
  <c r="P1026" i="13"/>
  <c r="P1028" i="13"/>
  <c r="P1188" i="13"/>
  <c r="P1190" i="13"/>
  <c r="P1192" i="13"/>
  <c r="P1260" i="13"/>
  <c r="P1262" i="13"/>
  <c r="P1266" i="13"/>
  <c r="P1272" i="13"/>
  <c r="P1276" i="13"/>
  <c r="P1284" i="13"/>
  <c r="P1286" i="13"/>
  <c r="P1290" i="13"/>
  <c r="P1352" i="13"/>
  <c r="P1360" i="13"/>
  <c r="P1362" i="13"/>
  <c r="P1364" i="13"/>
  <c r="P1522" i="13"/>
  <c r="P1524" i="13"/>
  <c r="P1528" i="13"/>
  <c r="P1530" i="13"/>
  <c r="P1538" i="13"/>
  <c r="P1540" i="13"/>
  <c r="P1544" i="13"/>
  <c r="P1546" i="13"/>
  <c r="P1548" i="13"/>
  <c r="P1899" i="13"/>
  <c r="G10" i="39"/>
  <c r="F23" i="39"/>
  <c r="L229" i="2" s="1"/>
  <c r="P1186" i="13"/>
  <c r="P205" i="13"/>
  <c r="P1023" i="13"/>
  <c r="P1347" i="13"/>
  <c r="P224" i="13"/>
  <c r="P226" i="13"/>
  <c r="P240" i="13"/>
  <c r="P334" i="13"/>
  <c r="P374" i="13"/>
  <c r="P378" i="13"/>
  <c r="P380" i="13"/>
  <c r="P503" i="13"/>
  <c r="P564" i="13"/>
  <c r="P566" i="13"/>
  <c r="P578" i="13"/>
  <c r="P766" i="13"/>
  <c r="P911" i="13"/>
  <c r="P929" i="13"/>
  <c r="P931" i="13"/>
  <c r="P1025" i="13"/>
  <c r="P1194" i="13"/>
  <c r="P1196" i="13"/>
  <c r="P1278" i="13"/>
  <c r="P1280" i="13"/>
  <c r="P1353" i="13"/>
  <c r="P1355" i="13"/>
  <c r="P1369" i="13"/>
  <c r="P1375" i="13"/>
  <c r="P1377" i="13"/>
  <c r="P1442" i="13"/>
  <c r="P1446" i="13"/>
  <c r="P1448" i="13"/>
  <c r="P1450" i="13"/>
  <c r="P1532" i="13"/>
  <c r="P1690" i="13"/>
  <c r="P1692" i="13"/>
  <c r="P1694" i="13"/>
  <c r="P1725" i="13"/>
  <c r="P971" i="13"/>
  <c r="P120" i="13"/>
  <c r="P124" i="13"/>
  <c r="P126" i="13"/>
  <c r="P132" i="13"/>
  <c r="P134" i="13"/>
  <c r="P140" i="13"/>
  <c r="P204" i="13"/>
  <c r="P490" i="13"/>
  <c r="P492" i="13"/>
  <c r="P496" i="13"/>
  <c r="P498" i="13"/>
  <c r="P561" i="13"/>
  <c r="P636" i="13"/>
  <c r="P646" i="13"/>
  <c r="P648" i="13"/>
  <c r="P751" i="13"/>
  <c r="P755" i="13"/>
  <c r="P757" i="13"/>
  <c r="P761" i="13"/>
  <c r="P763" i="13"/>
  <c r="P810" i="13"/>
  <c r="P812" i="13"/>
  <c r="P930" i="13"/>
  <c r="P1002" i="13"/>
  <c r="P1010" i="13"/>
  <c r="P1014" i="13"/>
  <c r="P1022" i="13"/>
  <c r="P1089" i="13"/>
  <c r="P1093" i="13"/>
  <c r="P1161" i="13"/>
  <c r="P1165" i="13"/>
  <c r="P1169" i="13"/>
  <c r="P1171" i="13"/>
  <c r="P1177" i="13"/>
  <c r="P1181" i="13"/>
  <c r="P1185" i="13"/>
  <c r="P1243" i="13"/>
  <c r="P1328" i="13"/>
  <c r="P1338" i="13"/>
  <c r="P1340" i="13"/>
  <c r="P1464" i="13"/>
  <c r="P1511" i="13"/>
  <c r="P1519" i="13"/>
  <c r="P1533" i="13"/>
  <c r="P1607" i="13"/>
  <c r="P1619" i="13"/>
  <c r="P1621" i="13"/>
  <c r="P1637" i="13"/>
  <c r="P1493" i="13"/>
  <c r="P113" i="13"/>
  <c r="P119" i="13"/>
  <c r="P121" i="13"/>
  <c r="P123" i="13"/>
  <c r="P125" i="13"/>
  <c r="P129" i="13"/>
  <c r="P131" i="13"/>
  <c r="P135" i="13"/>
  <c r="P137" i="13"/>
  <c r="P139" i="13"/>
  <c r="P393" i="13"/>
  <c r="P395" i="13"/>
  <c r="P397" i="13"/>
  <c r="P491" i="13"/>
  <c r="P558" i="13"/>
  <c r="P560" i="13"/>
  <c r="P639" i="13"/>
  <c r="P647" i="13"/>
  <c r="P679" i="13"/>
  <c r="P752" i="13"/>
  <c r="P817" i="13"/>
  <c r="P819" i="13"/>
  <c r="P821" i="13"/>
  <c r="P823" i="13"/>
  <c r="P829" i="13"/>
  <c r="P831" i="13"/>
  <c r="P837" i="13"/>
  <c r="P839" i="13"/>
  <c r="P983" i="13"/>
  <c r="P989" i="13"/>
  <c r="P991" i="13"/>
  <c r="P993" i="13"/>
  <c r="P997" i="13"/>
  <c r="P1005" i="13"/>
  <c r="P1084" i="13"/>
  <c r="P1168" i="13"/>
  <c r="P1329" i="13"/>
  <c r="P1331" i="13"/>
  <c r="P1333" i="13"/>
  <c r="P1345" i="13"/>
  <c r="P1465" i="13"/>
  <c r="P1498" i="13"/>
  <c r="P1512" i="13"/>
  <c r="P1516" i="13"/>
  <c r="P1518" i="13"/>
  <c r="P1549" i="13"/>
  <c r="P1600" i="13"/>
  <c r="P1610" i="13"/>
  <c r="P1612" i="13"/>
  <c r="P1614" i="13"/>
  <c r="P1624" i="13"/>
  <c r="P1626" i="13"/>
  <c r="P1863" i="13"/>
  <c r="P1865" i="13"/>
  <c r="P1867" i="13"/>
  <c r="P1871" i="13"/>
  <c r="P937" i="13"/>
  <c r="P1029" i="13"/>
  <c r="P1200" i="13"/>
  <c r="P1095" i="13"/>
  <c r="P115" i="13"/>
  <c r="P117" i="13"/>
  <c r="P146" i="13"/>
  <c r="P206" i="13"/>
  <c r="P210" i="13"/>
  <c r="P212" i="13"/>
  <c r="P216" i="13"/>
  <c r="P287" i="13"/>
  <c r="P289" i="13"/>
  <c r="P392" i="13"/>
  <c r="P400" i="13"/>
  <c r="P504" i="13"/>
  <c r="P506" i="13"/>
  <c r="P547" i="13"/>
  <c r="P556" i="13"/>
  <c r="P567" i="13"/>
  <c r="P571" i="13"/>
  <c r="P658" i="13"/>
  <c r="P678" i="13"/>
  <c r="P682" i="13"/>
  <c r="P738" i="13"/>
  <c r="P740" i="13"/>
  <c r="P748" i="13"/>
  <c r="P769" i="13"/>
  <c r="P901" i="13"/>
  <c r="P1001" i="13"/>
  <c r="P1024" i="13"/>
  <c r="P1073" i="13"/>
  <c r="P1075" i="13"/>
  <c r="P1081" i="13"/>
  <c r="P1097" i="13"/>
  <c r="P1099" i="13"/>
  <c r="P1112" i="13"/>
  <c r="P1164" i="13"/>
  <c r="P1187" i="13"/>
  <c r="P1189" i="13"/>
  <c r="P1191" i="13"/>
  <c r="P1245" i="13"/>
  <c r="P1337" i="13"/>
  <c r="P1348" i="13"/>
  <c r="P1445" i="13"/>
  <c r="P1500" i="13"/>
  <c r="P1502" i="13"/>
  <c r="P1504" i="13"/>
  <c r="P1508" i="13"/>
  <c r="P1510" i="13"/>
  <c r="P1606" i="13"/>
  <c r="P1685" i="13"/>
  <c r="P1708" i="13"/>
  <c r="P1765" i="13"/>
  <c r="P1495" i="13"/>
  <c r="P145" i="13"/>
  <c r="P201" i="13"/>
  <c r="P203" i="13"/>
  <c r="P330" i="13"/>
  <c r="P332" i="13"/>
  <c r="P460" i="13"/>
  <c r="P472" i="13"/>
  <c r="P478" i="13"/>
  <c r="P480" i="13"/>
  <c r="P488" i="13"/>
  <c r="P495" i="13"/>
  <c r="P551" i="13"/>
  <c r="P570" i="13"/>
  <c r="P583" i="13"/>
  <c r="P585" i="13"/>
  <c r="P587" i="13"/>
  <c r="P642" i="13"/>
  <c r="P649" i="13"/>
  <c r="P651" i="13"/>
  <c r="P653" i="13"/>
  <c r="P657" i="13"/>
  <c r="P735" i="13"/>
  <c r="P737" i="13"/>
  <c r="P760" i="13"/>
  <c r="P846" i="13"/>
  <c r="P848" i="13"/>
  <c r="P850" i="13"/>
  <c r="P852" i="13"/>
  <c r="P890" i="13"/>
  <c r="P892" i="13"/>
  <c r="P894" i="13"/>
  <c r="P896" i="13"/>
  <c r="P898" i="13"/>
  <c r="P907" i="13"/>
  <c r="P928" i="13"/>
  <c r="P941" i="13"/>
  <c r="P986" i="13"/>
  <c r="P1007" i="13"/>
  <c r="P1015" i="13"/>
  <c r="P1021" i="13"/>
  <c r="P1070" i="13"/>
  <c r="P1090" i="13"/>
  <c r="P1094" i="13"/>
  <c r="P1116" i="13"/>
  <c r="P1157" i="13"/>
  <c r="P1163" i="13"/>
  <c r="P1178" i="13"/>
  <c r="P1180" i="13"/>
  <c r="P1241" i="13"/>
  <c r="P1257" i="13"/>
  <c r="P1259" i="13"/>
  <c r="P1281" i="13"/>
  <c r="P1341" i="13"/>
  <c r="P1440" i="13"/>
  <c r="P1460" i="13"/>
  <c r="P1462" i="13"/>
  <c r="P1537" i="13"/>
  <c r="P1720" i="13"/>
  <c r="P1808" i="13"/>
  <c r="P1851" i="13"/>
  <c r="P1889" i="13"/>
  <c r="P1945" i="13"/>
  <c r="P1953" i="13"/>
  <c r="G17" i="39"/>
  <c r="G20" i="39"/>
  <c r="P159" i="13"/>
  <c r="P228" i="13"/>
  <c r="P376" i="13"/>
  <c r="P461" i="13"/>
  <c r="P465" i="13"/>
  <c r="P467" i="13"/>
  <c r="P469" i="13"/>
  <c r="P494" i="13"/>
  <c r="P580" i="13"/>
  <c r="P677" i="13"/>
  <c r="P759" i="13"/>
  <c r="P919" i="13"/>
  <c r="P921" i="13"/>
  <c r="P927" i="13"/>
  <c r="P940" i="13"/>
  <c r="P1018" i="13"/>
  <c r="P1117" i="13"/>
  <c r="P1156" i="13"/>
  <c r="P1203" i="13"/>
  <c r="P1240" i="13"/>
  <c r="P1256" i="13"/>
  <c r="P1282" i="13"/>
  <c r="P1291" i="13"/>
  <c r="P1459" i="13"/>
  <c r="P1534" i="13"/>
  <c r="P1536" i="13"/>
  <c r="P1627" i="13"/>
  <c r="P1631" i="13"/>
  <c r="G21" i="39"/>
  <c r="H34" i="39"/>
  <c r="P1699" i="13"/>
  <c r="P1714" i="13"/>
  <c r="P1716" i="13"/>
  <c r="G18" i="39"/>
  <c r="P1638" i="13"/>
  <c r="P1678" i="13"/>
  <c r="P1680" i="13"/>
  <c r="P1689" i="13"/>
  <c r="P1706" i="13"/>
  <c r="P1769" i="13"/>
  <c r="P1777" i="13"/>
  <c r="P1779" i="13"/>
  <c r="P1783" i="13"/>
  <c r="P1785" i="13"/>
  <c r="P1787" i="13"/>
  <c r="P1789" i="13"/>
  <c r="P1791" i="13"/>
  <c r="P1793" i="13"/>
  <c r="P1797" i="13"/>
  <c r="P1799" i="13"/>
  <c r="P1803" i="13"/>
  <c r="P1805" i="13"/>
  <c r="P1807" i="13"/>
  <c r="P1850" i="13"/>
  <c r="P1852" i="13"/>
  <c r="P1854" i="13"/>
  <c r="P1873" i="13"/>
  <c r="P1938" i="13"/>
  <c r="P1940" i="13"/>
  <c r="P1942" i="13"/>
  <c r="G16" i="39"/>
  <c r="H36" i="39"/>
  <c r="P734" i="13"/>
  <c r="P935" i="13"/>
  <c r="P1006" i="13"/>
  <c r="P1198" i="13"/>
  <c r="P1434" i="13"/>
  <c r="P1456" i="13"/>
  <c r="P1531" i="13"/>
  <c r="P1604" i="13"/>
  <c r="P1616" i="13"/>
  <c r="P1702" i="13"/>
  <c r="P1724" i="13"/>
  <c r="P1869" i="13"/>
  <c r="C42" i="39"/>
  <c r="H31" i="39"/>
  <c r="P1184" i="13"/>
  <c r="P1267" i="13"/>
  <c r="P1343" i="13"/>
  <c r="P1366" i="13"/>
  <c r="P1858" i="13"/>
  <c r="P238" i="13"/>
  <c r="P309" i="13"/>
  <c r="P555" i="13"/>
  <c r="P1087" i="13"/>
  <c r="P1109" i="13"/>
  <c r="P1336" i="13"/>
  <c r="P1444" i="13"/>
  <c r="P1499" i="13"/>
  <c r="P1541" i="13"/>
  <c r="P1605" i="13"/>
  <c r="P1710" i="13"/>
  <c r="G42" i="39"/>
  <c r="P1879" i="13"/>
  <c r="P1891" i="13"/>
  <c r="G15" i="39"/>
  <c r="H33" i="39"/>
  <c r="P1943" i="13"/>
  <c r="P1974" i="13"/>
  <c r="H30" i="39"/>
  <c r="H32" i="39"/>
  <c r="L207" i="2" l="1"/>
  <c r="L63" i="2" s="1"/>
  <c r="J69" i="2" s="1"/>
  <c r="L45" i="2"/>
  <c r="O524" i="13"/>
  <c r="O1046" i="13"/>
  <c r="F64" i="34"/>
  <c r="F66" i="34" s="1"/>
  <c r="F68" i="34" s="1"/>
  <c r="F84" i="34" s="1"/>
  <c r="F87" i="34" s="1"/>
  <c r="F80" i="34"/>
  <c r="O1307" i="13"/>
  <c r="D885" i="13"/>
  <c r="E885" i="13" s="1"/>
  <c r="F885" i="13" s="1"/>
  <c r="D886" i="13" s="1"/>
  <c r="D71" i="36"/>
  <c r="E27" i="5"/>
  <c r="I27" i="5" s="1"/>
  <c r="O611" i="13"/>
  <c r="G63" i="36"/>
  <c r="F46" i="36"/>
  <c r="F52" i="36" s="1"/>
  <c r="J50" i="34"/>
  <c r="F71" i="36"/>
  <c r="E33" i="5"/>
  <c r="I33" i="5" s="1"/>
  <c r="G88" i="2" s="1"/>
  <c r="E25" i="5"/>
  <c r="I25" i="5" s="1"/>
  <c r="G87" i="2" s="1"/>
  <c r="E35" i="5"/>
  <c r="I35" i="5" s="1"/>
  <c r="G64" i="36"/>
  <c r="J166" i="34"/>
  <c r="G20" i="5"/>
  <c r="I19" i="5"/>
  <c r="O1742" i="13"/>
  <c r="L227" i="2"/>
  <c r="H218" i="34"/>
  <c r="H229" i="34"/>
  <c r="D1494" i="13"/>
  <c r="O1655" i="13"/>
  <c r="G91" i="36"/>
  <c r="G36" i="5"/>
  <c r="O437" i="13"/>
  <c r="O698" i="13"/>
  <c r="O350" i="13"/>
  <c r="A49" i="38"/>
  <c r="A50" i="38" s="1"/>
  <c r="A51" i="38" s="1"/>
  <c r="A52" i="38" s="1"/>
  <c r="A53" i="38" s="1"/>
  <c r="A54" i="38" s="1"/>
  <c r="A55" i="38" s="1"/>
  <c r="A56" i="38" s="1"/>
  <c r="A57" i="38" s="1"/>
  <c r="A58" i="38" s="1"/>
  <c r="A59" i="38" s="1"/>
  <c r="A60" i="38" s="1"/>
  <c r="A61" i="38" s="1"/>
  <c r="A62" i="38" s="1"/>
  <c r="D205" i="2" s="1"/>
  <c r="E71" i="2"/>
  <c r="G81" i="2"/>
  <c r="C64" i="34"/>
  <c r="O1568" i="13"/>
  <c r="O872" i="13"/>
  <c r="I22" i="31"/>
  <c r="L163" i="2" s="1"/>
  <c r="C57" i="34"/>
  <c r="C60" i="34" s="1"/>
  <c r="C65" i="34" s="1"/>
  <c r="G166" i="2"/>
  <c r="O175" i="13"/>
  <c r="C229" i="34"/>
  <c r="O1916" i="13"/>
  <c r="D33" i="2"/>
  <c r="C70" i="13"/>
  <c r="A23" i="5"/>
  <c r="A25" i="5" s="1"/>
  <c r="A26" i="5" s="1"/>
  <c r="A27" i="5" s="1"/>
  <c r="A28" i="5" s="1"/>
  <c r="A31" i="5" s="1"/>
  <c r="A33" i="5" s="1"/>
  <c r="A19" i="34"/>
  <c r="A20" i="34" s="1"/>
  <c r="A21" i="34" s="1"/>
  <c r="A22" i="34" s="1"/>
  <c r="A23" i="34" s="1"/>
  <c r="A24" i="34" s="1"/>
  <c r="A25" i="34" s="1"/>
  <c r="A28" i="34" s="1"/>
  <c r="A29" i="34" s="1"/>
  <c r="C71" i="36"/>
  <c r="E101" i="31"/>
  <c r="G44" i="5"/>
  <c r="S33" i="21"/>
  <c r="L187" i="2" s="1"/>
  <c r="K79" i="6"/>
  <c r="K30" i="6" s="1"/>
  <c r="F229" i="34"/>
  <c r="F234" i="34" s="1"/>
  <c r="F237" i="34" s="1"/>
  <c r="O263" i="13"/>
  <c r="F1542" i="20"/>
  <c r="D1543" i="20" s="1"/>
  <c r="E1543" i="20" s="1"/>
  <c r="H144" i="34"/>
  <c r="H147" i="34" s="1"/>
  <c r="H152" i="34" s="1"/>
  <c r="H151" i="34"/>
  <c r="O959" i="13"/>
  <c r="H167" i="34"/>
  <c r="O785" i="13"/>
  <c r="I229" i="34"/>
  <c r="E73" i="2"/>
  <c r="J199" i="34"/>
  <c r="J229" i="34" s="1"/>
  <c r="E75" i="2"/>
  <c r="E74" i="2"/>
  <c r="I17" i="5"/>
  <c r="G86" i="2" s="1"/>
  <c r="B33" i="2"/>
  <c r="B34" i="2" s="1"/>
  <c r="B36" i="2" s="1"/>
  <c r="B39" i="2" s="1"/>
  <c r="B41" i="2" s="1"/>
  <c r="G28" i="5"/>
  <c r="I22" i="41"/>
  <c r="L22" i="41" s="1"/>
  <c r="O1394" i="13"/>
  <c r="I49" i="5"/>
  <c r="I51" i="5" s="1"/>
  <c r="G90" i="2" s="1"/>
  <c r="J139" i="34"/>
  <c r="J167" i="34" s="1"/>
  <c r="E20" i="5"/>
  <c r="O1133" i="13"/>
  <c r="E79" i="6"/>
  <c r="E30" i="6" s="1"/>
  <c r="I21" i="35"/>
  <c r="L21" i="35" s="1"/>
  <c r="G134" i="2"/>
  <c r="G100" i="2" s="1"/>
  <c r="G64" i="34"/>
  <c r="G80" i="34"/>
  <c r="G57" i="34"/>
  <c r="G60" i="34" s="1"/>
  <c r="G65" i="34" s="1"/>
  <c r="E53" i="34"/>
  <c r="J53" i="34" s="1"/>
  <c r="J203" i="34" s="1"/>
  <c r="L242" i="2" s="1"/>
  <c r="J252" i="2" s="1"/>
  <c r="J79" i="34"/>
  <c r="B23" i="40"/>
  <c r="K55" i="6"/>
  <c r="K29" i="6" s="1"/>
  <c r="G23" i="39"/>
  <c r="G144" i="34"/>
  <c r="G147" i="34" s="1"/>
  <c r="G152" i="34" s="1"/>
  <c r="G167" i="34"/>
  <c r="G202" i="34"/>
  <c r="G151" i="34"/>
  <c r="O1220" i="13"/>
  <c r="E23" i="35"/>
  <c r="I22" i="35"/>
  <c r="L22" i="35" s="1"/>
  <c r="L19" i="43"/>
  <c r="J21" i="43"/>
  <c r="J32" i="34"/>
  <c r="C167" i="34"/>
  <c r="O1829" i="13"/>
  <c r="I144" i="34"/>
  <c r="I147" i="34" s="1"/>
  <c r="I152" i="34" s="1"/>
  <c r="I167" i="34"/>
  <c r="I151" i="34"/>
  <c r="F140" i="34"/>
  <c r="A80" i="36"/>
  <c r="A82" i="36" s="1"/>
  <c r="A84" i="36" s="1"/>
  <c r="A86" i="36" s="1"/>
  <c r="A87" i="36" s="1"/>
  <c r="A88" i="36" s="1"/>
  <c r="A89" i="36" s="1"/>
  <c r="A90" i="36" s="1"/>
  <c r="A91" i="36" s="1"/>
  <c r="D52" i="5" s="1"/>
  <c r="D34" i="5"/>
  <c r="G23" i="36"/>
  <c r="E216" i="34"/>
  <c r="E218" i="34" s="1"/>
  <c r="E229" i="34"/>
  <c r="G71" i="2"/>
  <c r="G76" i="2" s="1"/>
  <c r="C64" i="38"/>
  <c r="L71" i="2" s="1"/>
  <c r="E167" i="34"/>
  <c r="E151" i="34"/>
  <c r="E144" i="34"/>
  <c r="E147" i="34" s="1"/>
  <c r="E152" i="34" s="1"/>
  <c r="C202" i="34"/>
  <c r="C144" i="34"/>
  <c r="C147" i="34" s="1"/>
  <c r="C152" i="34" s="1"/>
  <c r="C151" i="34"/>
  <c r="G80" i="2"/>
  <c r="K48" i="11" s="1"/>
  <c r="K51" i="11" s="1"/>
  <c r="K53" i="11" s="1"/>
  <c r="K55" i="11" s="1"/>
  <c r="O21" i="13"/>
  <c r="A30" i="31"/>
  <c r="A37" i="31" s="1"/>
  <c r="A40" i="31" s="1"/>
  <c r="A49" i="31" s="1"/>
  <c r="A50" i="31" s="1"/>
  <c r="A52" i="31" s="1"/>
  <c r="A54" i="31" s="1"/>
  <c r="A58" i="31" s="1"/>
  <c r="A59" i="31" s="1"/>
  <c r="A61" i="31" s="1"/>
  <c r="A62" i="31" s="1"/>
  <c r="A65" i="31" s="1"/>
  <c r="A69" i="31" s="1"/>
  <c r="A81" i="31" s="1"/>
  <c r="A86" i="31" s="1"/>
  <c r="A89" i="31" s="1"/>
  <c r="A95" i="31" s="1"/>
  <c r="A98" i="31" s="1"/>
  <c r="A101" i="31" s="1"/>
  <c r="J119" i="34"/>
  <c r="H75" i="13"/>
  <c r="I57" i="34"/>
  <c r="I60" i="34" s="1"/>
  <c r="I65" i="34" s="1"/>
  <c r="I64" i="34"/>
  <c r="I80" i="34"/>
  <c r="I202" i="34"/>
  <c r="N21" i="13"/>
  <c r="O88" i="13"/>
  <c r="H64" i="34"/>
  <c r="H80" i="34"/>
  <c r="H57" i="34"/>
  <c r="H60" i="34" s="1"/>
  <c r="H65" i="34" s="1"/>
  <c r="H202" i="34"/>
  <c r="F151" i="34"/>
  <c r="F144" i="34"/>
  <c r="F202" i="34"/>
  <c r="F167" i="34"/>
  <c r="J125" i="34"/>
  <c r="C140" i="34"/>
  <c r="G68" i="2"/>
  <c r="I55" i="6"/>
  <c r="I29" i="6" s="1"/>
  <c r="I31" i="6" s="1"/>
  <c r="G105" i="2" s="1"/>
  <c r="F914" i="20"/>
  <c r="D915" i="20" s="1"/>
  <c r="J216" i="34"/>
  <c r="H254" i="2" s="1"/>
  <c r="E143" i="2"/>
  <c r="A47" i="9"/>
  <c r="A48" i="9" s="1"/>
  <c r="A49" i="9" s="1"/>
  <c r="A50" i="9" s="1"/>
  <c r="A51" i="9" s="1"/>
  <c r="A52" i="9" s="1"/>
  <c r="A53" i="9" s="1"/>
  <c r="A54" i="9" s="1"/>
  <c r="A55" i="9" s="1"/>
  <c r="A56" i="9" s="1"/>
  <c r="A57" i="9" s="1"/>
  <c r="A58" i="9" s="1"/>
  <c r="A59" i="9" s="1"/>
  <c r="A60" i="9" s="1"/>
  <c r="A61" i="9" s="1"/>
  <c r="A62" i="9" s="1"/>
  <c r="A64" i="9" s="1"/>
  <c r="C216" i="34"/>
  <c r="E55" i="6"/>
  <c r="E29" i="6" s="1"/>
  <c r="J17" i="8"/>
  <c r="J27" i="8" s="1"/>
  <c r="J31" i="8" s="1"/>
  <c r="G229" i="34"/>
  <c r="G213" i="34"/>
  <c r="G178" i="2"/>
  <c r="E80" i="34"/>
  <c r="E57" i="34"/>
  <c r="J52" i="34"/>
  <c r="E64" i="34"/>
  <c r="E202" i="34"/>
  <c r="I216" i="34"/>
  <c r="I218" i="34" s="1"/>
  <c r="I23" i="41"/>
  <c r="G24" i="41"/>
  <c r="A26" i="40"/>
  <c r="J38" i="34"/>
  <c r="C51" i="11"/>
  <c r="A51" i="11"/>
  <c r="A50" i="39"/>
  <c r="A51" i="39" s="1"/>
  <c r="A52" i="39" s="1"/>
  <c r="A53" i="39" s="1"/>
  <c r="A54" i="39" s="1"/>
  <c r="A55" i="39" s="1"/>
  <c r="G26" i="35"/>
  <c r="H42" i="39"/>
  <c r="L209" i="2" l="1"/>
  <c r="J144" i="2" s="1"/>
  <c r="L144" i="2" s="1"/>
  <c r="G75" i="20"/>
  <c r="G234" i="2"/>
  <c r="J234" i="2" s="1"/>
  <c r="E22" i="13" s="1"/>
  <c r="F69" i="34"/>
  <c r="F85" i="34" s="1"/>
  <c r="F70" i="34"/>
  <c r="F86" i="34" s="1"/>
  <c r="D206" i="2"/>
  <c r="I234" i="34"/>
  <c r="I237" i="34" s="1"/>
  <c r="G71" i="36"/>
  <c r="E28" i="5"/>
  <c r="E36" i="5"/>
  <c r="F1543" i="20"/>
  <c r="D1544" i="20" s="1"/>
  <c r="E1544" i="20" s="1"/>
  <c r="D46" i="36"/>
  <c r="D52" i="36" s="1"/>
  <c r="I36" i="5"/>
  <c r="L88" i="2" s="1"/>
  <c r="H234" i="34"/>
  <c r="H237" i="34" s="1"/>
  <c r="B21" i="2"/>
  <c r="L230" i="2"/>
  <c r="G235" i="2" s="1"/>
  <c r="C66" i="34"/>
  <c r="C68" i="34" s="1"/>
  <c r="C84" i="34" s="1"/>
  <c r="C87" i="34" s="1"/>
  <c r="L241" i="2"/>
  <c r="I28" i="5"/>
  <c r="L87" i="2" s="1"/>
  <c r="K31" i="6"/>
  <c r="E31" i="6"/>
  <c r="G107" i="2" s="1"/>
  <c r="L107" i="2" s="1"/>
  <c r="I20" i="5"/>
  <c r="L86" i="2" s="1"/>
  <c r="B79" i="34"/>
  <c r="J151" i="34"/>
  <c r="J140" i="34"/>
  <c r="H153" i="34"/>
  <c r="H155" i="34" s="1"/>
  <c r="H171" i="34" s="1"/>
  <c r="H174" i="34" s="1"/>
  <c r="E87" i="2"/>
  <c r="G149" i="2"/>
  <c r="G151" i="2" s="1"/>
  <c r="E203" i="34"/>
  <c r="G79" i="2"/>
  <c r="G48" i="11" s="1"/>
  <c r="I153" i="34"/>
  <c r="G66" i="34"/>
  <c r="G69" i="34" s="1"/>
  <c r="G85" i="34" s="1"/>
  <c r="C153" i="34"/>
  <c r="C155" i="34" s="1"/>
  <c r="C171" i="34" s="1"/>
  <c r="C174" i="34" s="1"/>
  <c r="E234" i="34"/>
  <c r="E237" i="34" s="1"/>
  <c r="J218" i="34"/>
  <c r="J234" i="34" s="1"/>
  <c r="J237" i="34" s="1"/>
  <c r="E153" i="34"/>
  <c r="E155" i="34" s="1"/>
  <c r="E171" i="34" s="1"/>
  <c r="E174" i="34" s="1"/>
  <c r="J71" i="2"/>
  <c r="L21" i="43"/>
  <c r="O19" i="43"/>
  <c r="O21" i="43" s="1"/>
  <c r="G885" i="13"/>
  <c r="G207" i="34"/>
  <c r="G210" i="34" s="1"/>
  <c r="G215" i="34" s="1"/>
  <c r="G230" i="34"/>
  <c r="G214" i="34"/>
  <c r="P21" i="13"/>
  <c r="E24" i="35"/>
  <c r="I23" i="35"/>
  <c r="L23" i="35" s="1"/>
  <c r="C22" i="31"/>
  <c r="C230" i="34"/>
  <c r="C214" i="34"/>
  <c r="C219" i="34" s="1"/>
  <c r="C207" i="34"/>
  <c r="C210" i="34" s="1"/>
  <c r="C215" i="34" s="1"/>
  <c r="C220" i="34" s="1"/>
  <c r="C236" i="34" s="1"/>
  <c r="G153" i="34"/>
  <c r="E214" i="34"/>
  <c r="E219" i="34" s="1"/>
  <c r="E230" i="34"/>
  <c r="E207" i="34"/>
  <c r="G216" i="34"/>
  <c r="C218" i="34"/>
  <c r="C234" i="34" s="1"/>
  <c r="C237" i="34" s="1"/>
  <c r="E915" i="20"/>
  <c r="F915" i="20" s="1"/>
  <c r="D916" i="20" s="1"/>
  <c r="E886" i="13"/>
  <c r="F886" i="13" s="1"/>
  <c r="D887" i="13" s="1"/>
  <c r="H66" i="34"/>
  <c r="H68" i="34" s="1"/>
  <c r="H84" i="34" s="1"/>
  <c r="H87" i="34" s="1"/>
  <c r="A52" i="11"/>
  <c r="A53" i="11" s="1"/>
  <c r="C61" i="11"/>
  <c r="E60" i="34"/>
  <c r="E65" i="34" s="1"/>
  <c r="E66" i="34" s="1"/>
  <c r="E68" i="34" s="1"/>
  <c r="E84" i="34" s="1"/>
  <c r="E87" i="34" s="1"/>
  <c r="J57" i="34"/>
  <c r="J60" i="34" s="1"/>
  <c r="J65" i="34" s="1"/>
  <c r="D28" i="5"/>
  <c r="G27" i="35"/>
  <c r="A67" i="9"/>
  <c r="A68" i="9" s="1"/>
  <c r="E144" i="2"/>
  <c r="G25" i="41"/>
  <c r="I24" i="41"/>
  <c r="L24" i="41" s="1"/>
  <c r="B42" i="2"/>
  <c r="A34" i="5"/>
  <c r="A35" i="5" s="1"/>
  <c r="A36" i="5" s="1"/>
  <c r="A39" i="5" s="1"/>
  <c r="A41" i="5" s="1"/>
  <c r="F230" i="34"/>
  <c r="F214" i="34"/>
  <c r="F219" i="34" s="1"/>
  <c r="F207" i="34"/>
  <c r="F210" i="34" s="1"/>
  <c r="F215" i="34" s="1"/>
  <c r="F220" i="34" s="1"/>
  <c r="F236" i="34" s="1"/>
  <c r="J202" i="34"/>
  <c r="J64" i="34"/>
  <c r="J80" i="34"/>
  <c r="F147" i="34"/>
  <c r="F152" i="34" s="1"/>
  <c r="F153" i="34" s="1"/>
  <c r="J144" i="34"/>
  <c r="J147" i="34" s="1"/>
  <c r="J152" i="34" s="1"/>
  <c r="A27" i="40"/>
  <c r="A28" i="40" s="1"/>
  <c r="A29" i="40" s="1"/>
  <c r="A30" i="40" s="1"/>
  <c r="G57" i="11"/>
  <c r="E57" i="11"/>
  <c r="I57" i="11"/>
  <c r="I58" i="11" s="1"/>
  <c r="I59" i="11" s="1"/>
  <c r="K57" i="11"/>
  <c r="K58" i="11" s="1"/>
  <c r="A30" i="34"/>
  <c r="A31" i="34" s="1"/>
  <c r="I66" i="34"/>
  <c r="I68" i="34" s="1"/>
  <c r="I84" i="34" s="1"/>
  <c r="I87" i="34" s="1"/>
  <c r="L23" i="41"/>
  <c r="B57" i="39"/>
  <c r="A57" i="39"/>
  <c r="E223" i="2"/>
  <c r="B55" i="39"/>
  <c r="K61" i="11"/>
  <c r="K63" i="11" s="1"/>
  <c r="K65" i="11" s="1"/>
  <c r="H214" i="34"/>
  <c r="H219" i="34" s="1"/>
  <c r="H230" i="34"/>
  <c r="H207" i="34"/>
  <c r="H210" i="34" s="1"/>
  <c r="H215" i="34" s="1"/>
  <c r="H220" i="34" s="1"/>
  <c r="H236" i="34" s="1"/>
  <c r="I230" i="34"/>
  <c r="I214" i="34"/>
  <c r="I219" i="34" s="1"/>
  <c r="I207" i="34"/>
  <c r="I210" i="34" s="1"/>
  <c r="I215" i="34" s="1"/>
  <c r="I220" i="34" s="1"/>
  <c r="I236" i="34" s="1"/>
  <c r="G233" i="2"/>
  <c r="E57" i="39"/>
  <c r="A69" i="9" l="1"/>
  <c r="A70" i="9" s="1"/>
  <c r="A71" i="9" s="1"/>
  <c r="A73" i="9" s="1"/>
  <c r="E145" i="2" s="1"/>
  <c r="J134" i="2"/>
  <c r="J101" i="2" s="1"/>
  <c r="L101" i="2" s="1"/>
  <c r="J213" i="2"/>
  <c r="L213" i="2" s="1"/>
  <c r="L217" i="2" s="1"/>
  <c r="L219" i="2" s="1"/>
  <c r="J143" i="2"/>
  <c r="L143" i="2" s="1"/>
  <c r="E22" i="20"/>
  <c r="G46" i="36"/>
  <c r="G52" i="36" s="1"/>
  <c r="G108" i="2"/>
  <c r="C156" i="34"/>
  <c r="C172" i="34" s="1"/>
  <c r="C69" i="34"/>
  <c r="C85" i="34" s="1"/>
  <c r="C70" i="34"/>
  <c r="C86" i="34" s="1"/>
  <c r="C157" i="34"/>
  <c r="C173" i="34" s="1"/>
  <c r="G82" i="2"/>
  <c r="J153" i="34"/>
  <c r="J155" i="34" s="1"/>
  <c r="J171" i="34" s="1"/>
  <c r="J174" i="34" s="1"/>
  <c r="H156" i="34"/>
  <c r="H172" i="34" s="1"/>
  <c r="H157" i="34"/>
  <c r="H173" i="34" s="1"/>
  <c r="G251" i="2"/>
  <c r="H251" i="2" s="1"/>
  <c r="J251" i="2" s="1"/>
  <c r="C235" i="34"/>
  <c r="I235" i="34"/>
  <c r="E157" i="34"/>
  <c r="E173" i="34" s="1"/>
  <c r="G70" i="34"/>
  <c r="G86" i="34" s="1"/>
  <c r="G68" i="34"/>
  <c r="G84" i="34" s="1"/>
  <c r="G87" i="34" s="1"/>
  <c r="I157" i="34"/>
  <c r="I173" i="34" s="1"/>
  <c r="I156" i="34"/>
  <c r="I172" i="34" s="1"/>
  <c r="I155" i="34"/>
  <c r="I171" i="34" s="1"/>
  <c r="I174" i="34" s="1"/>
  <c r="E25" i="35"/>
  <c r="I24" i="35"/>
  <c r="L24" i="35" s="1"/>
  <c r="J154" i="2"/>
  <c r="L154" i="2" s="1"/>
  <c r="J72" i="2"/>
  <c r="L72" i="2" s="1"/>
  <c r="G155" i="34"/>
  <c r="G171" i="34" s="1"/>
  <c r="G174" i="34" s="1"/>
  <c r="G156" i="34"/>
  <c r="G172" i="34" s="1"/>
  <c r="B31" i="34"/>
  <c r="G157" i="34"/>
  <c r="G173" i="34" s="1"/>
  <c r="E156" i="34"/>
  <c r="E172" i="34" s="1"/>
  <c r="H70" i="34"/>
  <c r="H86" i="34" s="1"/>
  <c r="F155" i="34"/>
  <c r="F171" i="34" s="1"/>
  <c r="F174" i="34" s="1"/>
  <c r="F156" i="34"/>
  <c r="F172" i="34" s="1"/>
  <c r="E916" i="20"/>
  <c r="F916" i="20" s="1"/>
  <c r="D917" i="20" s="1"/>
  <c r="J214" i="34"/>
  <c r="J219" i="34" s="1"/>
  <c r="J230" i="34"/>
  <c r="A42" i="5"/>
  <c r="A43" i="5" s="1"/>
  <c r="A44" i="5" s="1"/>
  <c r="A47" i="5" s="1"/>
  <c r="A49" i="5" s="1"/>
  <c r="G26" i="41"/>
  <c r="I25" i="41"/>
  <c r="E887" i="13"/>
  <c r="G219" i="34"/>
  <c r="G235" i="34" s="1"/>
  <c r="G220" i="34"/>
  <c r="G236" i="34" s="1"/>
  <c r="I70" i="34"/>
  <c r="I86" i="34" s="1"/>
  <c r="E210" i="34"/>
  <c r="E215" i="34" s="1"/>
  <c r="E220" i="34" s="1"/>
  <c r="E236" i="34" s="1"/>
  <c r="J207" i="34"/>
  <c r="C30" i="40"/>
  <c r="E70" i="34"/>
  <c r="E86" i="34" s="1"/>
  <c r="H69" i="34"/>
  <c r="H85" i="34" s="1"/>
  <c r="E235" i="34"/>
  <c r="H235" i="34"/>
  <c r="A33" i="40"/>
  <c r="E146" i="2" s="1"/>
  <c r="C33" i="40"/>
  <c r="F1544" i="20"/>
  <c r="D1545" i="20" s="1"/>
  <c r="E67" i="11"/>
  <c r="E68" i="11" s="1"/>
  <c r="I67" i="11"/>
  <c r="I68" i="11" s="1"/>
  <c r="I69" i="11" s="1"/>
  <c r="G67" i="11"/>
  <c r="K67" i="11"/>
  <c r="K68" i="11" s="1"/>
  <c r="F235" i="34"/>
  <c r="E69" i="34"/>
  <c r="E85" i="34" s="1"/>
  <c r="F157" i="34"/>
  <c r="F173" i="34" s="1"/>
  <c r="E58" i="11"/>
  <c r="M57" i="11"/>
  <c r="I69" i="34"/>
  <c r="I85" i="34" s="1"/>
  <c r="D36" i="5"/>
  <c r="B43" i="2"/>
  <c r="D305" i="2" s="1"/>
  <c r="G28" i="35"/>
  <c r="A54" i="11"/>
  <c r="A55" i="11" s="1"/>
  <c r="G886" i="13"/>
  <c r="M48" i="11"/>
  <c r="G51" i="11"/>
  <c r="G61" i="11" s="1"/>
  <c r="A60" i="39"/>
  <c r="A63" i="39" s="1"/>
  <c r="A64" i="39" s="1"/>
  <c r="A65" i="39" s="1"/>
  <c r="A66" i="39" s="1"/>
  <c r="A68" i="39" s="1"/>
  <c r="D233" i="2"/>
  <c r="A32" i="34"/>
  <c r="B32" i="34"/>
  <c r="J66" i="34"/>
  <c r="J68" i="34" s="1"/>
  <c r="J84" i="34" s="1"/>
  <c r="J87" i="34" s="1"/>
  <c r="E88" i="2"/>
  <c r="C53" i="11"/>
  <c r="G218" i="34"/>
  <c r="G234" i="34" s="1"/>
  <c r="G237" i="34" s="1"/>
  <c r="J233" i="2"/>
  <c r="G236" i="2"/>
  <c r="L134" i="2" l="1"/>
  <c r="L100" i="2" s="1"/>
  <c r="J64" i="2"/>
  <c r="L64" i="2" s="1"/>
  <c r="L79" i="2" s="1"/>
  <c r="J73" i="2"/>
  <c r="L73" i="2" s="1"/>
  <c r="J104" i="2"/>
  <c r="L104" i="2" s="1"/>
  <c r="J155" i="2"/>
  <c r="L155" i="2" s="1"/>
  <c r="J141" i="2"/>
  <c r="L141" i="2" s="1"/>
  <c r="J74" i="2"/>
  <c r="L74" i="2" s="1"/>
  <c r="J156" i="2"/>
  <c r="L156" i="2" s="1"/>
  <c r="J67" i="2"/>
  <c r="L67" i="2" s="1"/>
  <c r="J97" i="2"/>
  <c r="L97" i="2" s="1"/>
  <c r="J161" i="2"/>
  <c r="L161" i="2" s="1"/>
  <c r="J66" i="2"/>
  <c r="L66" i="2" s="1"/>
  <c r="J146" i="2"/>
  <c r="L146" i="2" s="1"/>
  <c r="J102" i="2"/>
  <c r="L102" i="2" s="1"/>
  <c r="J65" i="2"/>
  <c r="L65" i="2" s="1"/>
  <c r="J75" i="2"/>
  <c r="L75" i="2" s="1"/>
  <c r="J156" i="34"/>
  <c r="J172" i="34" s="1"/>
  <c r="J157" i="34"/>
  <c r="J173" i="34" s="1"/>
  <c r="L251" i="2"/>
  <c r="L254" i="2" s="1"/>
  <c r="C55" i="11"/>
  <c r="E89" i="2"/>
  <c r="J69" i="34"/>
  <c r="J85" i="34" s="1"/>
  <c r="G59" i="20"/>
  <c r="F59" i="13"/>
  <c r="G76" i="20"/>
  <c r="G77" i="20" s="1"/>
  <c r="G78" i="20" s="1"/>
  <c r="G79" i="20" s="1"/>
  <c r="H76" i="13"/>
  <c r="H77" i="13" s="1"/>
  <c r="H78" i="13" s="1"/>
  <c r="H79" i="13" s="1"/>
  <c r="E26" i="35"/>
  <c r="I25" i="35"/>
  <c r="L25" i="35" s="1"/>
  <c r="A34" i="34"/>
  <c r="M61" i="11"/>
  <c r="G63" i="11"/>
  <c r="A50" i="5"/>
  <c r="A51" i="5" s="1"/>
  <c r="J235" i="34"/>
  <c r="G252" i="2"/>
  <c r="A74" i="39"/>
  <c r="A75" i="39" s="1"/>
  <c r="B50" i="39"/>
  <c r="C56" i="11"/>
  <c r="A56" i="11"/>
  <c r="E59" i="11"/>
  <c r="F887" i="13"/>
  <c r="E69" i="11"/>
  <c r="G29" i="35"/>
  <c r="J70" i="34"/>
  <c r="J86" i="34" s="1"/>
  <c r="G27" i="41"/>
  <c r="I26" i="41"/>
  <c r="L26" i="41" s="1"/>
  <c r="L25" i="41"/>
  <c r="E917" i="20"/>
  <c r="F917" i="20" s="1"/>
  <c r="D918" i="20" s="1"/>
  <c r="M51" i="11"/>
  <c r="G53" i="11"/>
  <c r="B45" i="2"/>
  <c r="B63" i="2" s="1"/>
  <c r="E45" i="2"/>
  <c r="E1545" i="20"/>
  <c r="F1545" i="20" s="1"/>
  <c r="D1546" i="20" s="1"/>
  <c r="L245" i="2"/>
  <c r="L248" i="2" s="1"/>
  <c r="J210" i="34"/>
  <c r="J215" i="34" s="1"/>
  <c r="J220" i="34" s="1"/>
  <c r="D44" i="5"/>
  <c r="E21" i="13"/>
  <c r="E21" i="20"/>
  <c r="H234" i="2"/>
  <c r="H233" i="2"/>
  <c r="H235" i="2"/>
  <c r="L157" i="2" l="1"/>
  <c r="L81" i="2"/>
  <c r="L68" i="2"/>
  <c r="J68" i="2" s="1"/>
  <c r="J165" i="2" s="1"/>
  <c r="L165" i="2" s="1"/>
  <c r="L80" i="2"/>
  <c r="L76" i="2"/>
  <c r="E27" i="35"/>
  <c r="I26" i="35"/>
  <c r="L26" i="35" s="1"/>
  <c r="D1228" i="13"/>
  <c r="J1229" i="13" s="1"/>
  <c r="E1232" i="13" s="1"/>
  <c r="F1232" i="13" s="1"/>
  <c r="D1402" i="13"/>
  <c r="J1403" i="13" s="1"/>
  <c r="E1406" i="13" s="1"/>
  <c r="F1406" i="13" s="1"/>
  <c r="D1315" i="13"/>
  <c r="J1316" i="13" s="1"/>
  <c r="E1319" i="13" s="1"/>
  <c r="F1319" i="13" s="1"/>
  <c r="D967" i="13"/>
  <c r="J968" i="13" s="1"/>
  <c r="E971" i="13" s="1"/>
  <c r="F971" i="13" s="1"/>
  <c r="D271" i="13"/>
  <c r="J272" i="13" s="1"/>
  <c r="E275" i="13" s="1"/>
  <c r="F275" i="13" s="1"/>
  <c r="D706" i="13"/>
  <c r="J707" i="13" s="1"/>
  <c r="E710" i="13" s="1"/>
  <c r="F710" i="13" s="1"/>
  <c r="D96" i="13"/>
  <c r="J97" i="13" s="1"/>
  <c r="E100" i="13" s="1"/>
  <c r="F100" i="13" s="1"/>
  <c r="D1663" i="13"/>
  <c r="J1664" i="13" s="1"/>
  <c r="E1667" i="13" s="1"/>
  <c r="F1667" i="13" s="1"/>
  <c r="D183" i="13"/>
  <c r="J184" i="13" s="1"/>
  <c r="E187" i="13" s="1"/>
  <c r="F187" i="13" s="1"/>
  <c r="D1750" i="13"/>
  <c r="J1751" i="13" s="1"/>
  <c r="E1754" i="13" s="1"/>
  <c r="F1754" i="13" s="1"/>
  <c r="D1489" i="13"/>
  <c r="D532" i="13"/>
  <c r="J533" i="13" s="1"/>
  <c r="E536" i="13" s="1"/>
  <c r="F536" i="13" s="1"/>
  <c r="D1054" i="13"/>
  <c r="J1055" i="13" s="1"/>
  <c r="D619" i="13"/>
  <c r="J620" i="13" s="1"/>
  <c r="E623" i="13" s="1"/>
  <c r="F623" i="13" s="1"/>
  <c r="D1576" i="13"/>
  <c r="J1577" i="13" s="1"/>
  <c r="E1580" i="13" s="1"/>
  <c r="F1580" i="13" s="1"/>
  <c r="D445" i="13"/>
  <c r="J446" i="13" s="1"/>
  <c r="E449" i="13" s="1"/>
  <c r="F449" i="13" s="1"/>
  <c r="D1141" i="13"/>
  <c r="J1142" i="13" s="1"/>
  <c r="E1145" i="13" s="1"/>
  <c r="F1145" i="13" s="1"/>
  <c r="D793" i="13"/>
  <c r="J794" i="13" s="1"/>
  <c r="E797" i="13" s="1"/>
  <c r="F797" i="13" s="1"/>
  <c r="D1924" i="13"/>
  <c r="J1925" i="13" s="1"/>
  <c r="E1928" i="13" s="1"/>
  <c r="F1928" i="13" s="1"/>
  <c r="D880" i="13"/>
  <c r="D1837" i="13"/>
  <c r="J1838" i="13" s="1"/>
  <c r="E1841" i="13" s="1"/>
  <c r="F1841" i="13" s="1"/>
  <c r="D358" i="13"/>
  <c r="J359" i="13" s="1"/>
  <c r="E362" i="13" s="1"/>
  <c r="F362" i="13" s="1"/>
  <c r="D727" i="20"/>
  <c r="I728" i="20" s="1"/>
  <c r="E731" i="20" s="1"/>
  <c r="F731" i="20" s="1"/>
  <c r="D732" i="20" s="1"/>
  <c r="E732" i="20" s="1"/>
  <c r="D547" i="20"/>
  <c r="I548" i="20" s="1"/>
  <c r="E551" i="20" s="1"/>
  <c r="F551" i="20" s="1"/>
  <c r="D552" i="20" s="1"/>
  <c r="E552" i="20" s="1"/>
  <c r="D97" i="20"/>
  <c r="I98" i="20" s="1"/>
  <c r="E101" i="20" s="1"/>
  <c r="F101" i="20" s="1"/>
  <c r="D102" i="20" s="1"/>
  <c r="E102" i="20" s="1"/>
  <c r="F102" i="20" s="1"/>
  <c r="D103" i="20" s="1"/>
  <c r="E103" i="20" s="1"/>
  <c r="D907" i="20"/>
  <c r="D1986" i="20"/>
  <c r="I1987" i="20" s="1"/>
  <c r="E1990" i="20" s="1"/>
  <c r="F1990" i="20" s="1"/>
  <c r="D1991" i="20" s="1"/>
  <c r="D1357" i="20"/>
  <c r="I1358" i="20" s="1"/>
  <c r="E1361" i="20" s="1"/>
  <c r="F1361" i="20" s="1"/>
  <c r="D1362" i="20" s="1"/>
  <c r="D367" i="20"/>
  <c r="I368" i="20" s="1"/>
  <c r="E371" i="20" s="1"/>
  <c r="F371" i="20" s="1"/>
  <c r="D372" i="20" s="1"/>
  <c r="E372" i="20" s="1"/>
  <c r="F372" i="20" s="1"/>
  <c r="D373" i="20" s="1"/>
  <c r="E373" i="20" s="1"/>
  <c r="F373" i="20" s="1"/>
  <c r="D374" i="20" s="1"/>
  <c r="D1717" i="20"/>
  <c r="I1718" i="20" s="1"/>
  <c r="E1721" i="20" s="1"/>
  <c r="F1721" i="20" s="1"/>
  <c r="D1722" i="20" s="1"/>
  <c r="E1722" i="20" s="1"/>
  <c r="D1807" i="20"/>
  <c r="I1808" i="20" s="1"/>
  <c r="E1811" i="20" s="1"/>
  <c r="F1811" i="20" s="1"/>
  <c r="D1812" i="20" s="1"/>
  <c r="E1812" i="20" s="1"/>
  <c r="F1812" i="20" s="1"/>
  <c r="D1813" i="20" s="1"/>
  <c r="E1813" i="20" s="1"/>
  <c r="F1813" i="20" s="1"/>
  <c r="D1814" i="20" s="1"/>
  <c r="D277" i="20"/>
  <c r="I278" i="20" s="1"/>
  <c r="E281" i="20" s="1"/>
  <c r="F281" i="20" s="1"/>
  <c r="D282" i="20" s="1"/>
  <c r="D1537" i="20"/>
  <c r="D637" i="20"/>
  <c r="I638" i="20" s="1"/>
  <c r="E641" i="20" s="1"/>
  <c r="F641" i="20" s="1"/>
  <c r="D642" i="20" s="1"/>
  <c r="E642" i="20" s="1"/>
  <c r="D997" i="20"/>
  <c r="I998" i="20" s="1"/>
  <c r="E1001" i="20" s="1"/>
  <c r="F1001" i="20" s="1"/>
  <c r="D1002" i="20" s="1"/>
  <c r="E1002" i="20" s="1"/>
  <c r="D817" i="20"/>
  <c r="I818" i="20" s="1"/>
  <c r="E821" i="20" s="1"/>
  <c r="F821" i="20" s="1"/>
  <c r="D822" i="20" s="1"/>
  <c r="D457" i="20"/>
  <c r="I458" i="20" s="1"/>
  <c r="E461" i="20" s="1"/>
  <c r="F461" i="20" s="1"/>
  <c r="D462" i="20" s="1"/>
  <c r="E462" i="20" s="1"/>
  <c r="F462" i="20" s="1"/>
  <c r="D463" i="20" s="1"/>
  <c r="E463" i="20" s="1"/>
  <c r="D1447" i="20"/>
  <c r="I1448" i="20" s="1"/>
  <c r="E1451" i="20" s="1"/>
  <c r="F1451" i="20" s="1"/>
  <c r="D1452" i="20" s="1"/>
  <c r="E1452" i="20" s="1"/>
  <c r="F1452" i="20" s="1"/>
  <c r="D1453" i="20" s="1"/>
  <c r="D1627" i="20"/>
  <c r="I1628" i="20" s="1"/>
  <c r="E1631" i="20" s="1"/>
  <c r="F1631" i="20" s="1"/>
  <c r="D1632" i="20" s="1"/>
  <c r="D1267" i="20"/>
  <c r="I1268" i="20" s="1"/>
  <c r="E1271" i="20" s="1"/>
  <c r="F1271" i="20" s="1"/>
  <c r="D1272" i="20" s="1"/>
  <c r="E1272" i="20" s="1"/>
  <c r="F1272" i="20" s="1"/>
  <c r="D1273" i="20" s="1"/>
  <c r="E1273" i="20" s="1"/>
  <c r="D1177" i="20"/>
  <c r="I1178" i="20" s="1"/>
  <c r="E1181" i="20" s="1"/>
  <c r="F1181" i="20" s="1"/>
  <c r="D1182" i="20" s="1"/>
  <c r="E1182" i="20" s="1"/>
  <c r="D187" i="20"/>
  <c r="I188" i="20" s="1"/>
  <c r="E191" i="20" s="1"/>
  <c r="F191" i="20" s="1"/>
  <c r="D192" i="20" s="1"/>
  <c r="D1087" i="20"/>
  <c r="I1088" i="20" s="1"/>
  <c r="E1091" i="20" s="1"/>
  <c r="F1091" i="20" s="1"/>
  <c r="D1092" i="20" s="1"/>
  <c r="D1897" i="20"/>
  <c r="I1898" i="20" s="1"/>
  <c r="E1901" i="20" s="1"/>
  <c r="F1901" i="20" s="1"/>
  <c r="D1902" i="20" s="1"/>
  <c r="E1902" i="20" s="1"/>
  <c r="F1902" i="20" s="1"/>
  <c r="D1903" i="20" s="1"/>
  <c r="E1903" i="20" s="1"/>
  <c r="E918" i="20"/>
  <c r="F918" i="20" s="1"/>
  <c r="D919" i="20" s="1"/>
  <c r="G30" i="35"/>
  <c r="B76" i="39"/>
  <c r="A76" i="39"/>
  <c r="E224" i="2"/>
  <c r="F64" i="13"/>
  <c r="G64" i="20"/>
  <c r="A52" i="5"/>
  <c r="E90" i="2" s="1"/>
  <c r="E1546" i="20"/>
  <c r="F1546" i="20" s="1"/>
  <c r="D1547" i="20" s="1"/>
  <c r="G28" i="41"/>
  <c r="I27" i="41"/>
  <c r="L27" i="41" s="1"/>
  <c r="G253" i="2"/>
  <c r="J236" i="34"/>
  <c r="D51" i="5"/>
  <c r="A35" i="34"/>
  <c r="M53" i="11"/>
  <c r="G55" i="11"/>
  <c r="G58" i="11" s="1"/>
  <c r="M58" i="11" s="1"/>
  <c r="L252" i="2"/>
  <c r="H252" i="2"/>
  <c r="M63" i="11"/>
  <c r="G65" i="11"/>
  <c r="G68" i="11" s="1"/>
  <c r="M68" i="11" s="1"/>
  <c r="C75" i="20"/>
  <c r="B64" i="2"/>
  <c r="B65" i="2" s="1"/>
  <c r="E204" i="2"/>
  <c r="C75" i="13"/>
  <c r="D888" i="13"/>
  <c r="G887" i="13"/>
  <c r="A57" i="11"/>
  <c r="C57" i="11"/>
  <c r="D22" i="20"/>
  <c r="F22" i="20" s="1"/>
  <c r="L234" i="2"/>
  <c r="D22" i="13"/>
  <c r="F22" i="13" s="1"/>
  <c r="I234" i="2"/>
  <c r="L235" i="2"/>
  <c r="I235" i="2"/>
  <c r="D23" i="13" s="1"/>
  <c r="F23" i="13" s="1"/>
  <c r="D23" i="20"/>
  <c r="F23" i="20" s="1"/>
  <c r="D21" i="13"/>
  <c r="F21" i="13" s="1"/>
  <c r="D21" i="20"/>
  <c r="F21" i="20" s="1"/>
  <c r="H236" i="2"/>
  <c r="L82" i="2" l="1"/>
  <c r="J82" i="2" s="1"/>
  <c r="J178" i="2" s="1"/>
  <c r="L178" i="2" s="1"/>
  <c r="J103" i="2"/>
  <c r="L103" i="2" s="1"/>
  <c r="J142" i="2"/>
  <c r="L142" i="2" s="1"/>
  <c r="L147" i="2" s="1"/>
  <c r="L149" i="2" s="1"/>
  <c r="L151" i="2" s="1"/>
  <c r="J105" i="2"/>
  <c r="L105" i="2" s="1"/>
  <c r="L166" i="2"/>
  <c r="F732" i="20"/>
  <c r="D733" i="20" s="1"/>
  <c r="E733" i="20" s="1"/>
  <c r="F733" i="20" s="1"/>
  <c r="D734" i="20" s="1"/>
  <c r="F552" i="20"/>
  <c r="D553" i="20" s="1"/>
  <c r="E553" i="20" s="1"/>
  <c r="F553" i="20" s="1"/>
  <c r="D554" i="20" s="1"/>
  <c r="F642" i="20"/>
  <c r="D643" i="20" s="1"/>
  <c r="E643" i="20" s="1"/>
  <c r="F643" i="20" s="1"/>
  <c r="D644" i="20" s="1"/>
  <c r="F1182" i="20"/>
  <c r="D1183" i="20" s="1"/>
  <c r="E1183" i="20" s="1"/>
  <c r="F1722" i="20"/>
  <c r="D1723" i="20" s="1"/>
  <c r="E1723" i="20" s="1"/>
  <c r="F1723" i="20" s="1"/>
  <c r="D1724" i="20" s="1"/>
  <c r="F1002" i="20"/>
  <c r="D1003" i="20" s="1"/>
  <c r="E1003" i="20" s="1"/>
  <c r="F1003" i="20" s="1"/>
  <c r="D1004" i="20" s="1"/>
  <c r="E1453" i="20"/>
  <c r="F1453" i="20" s="1"/>
  <c r="D1454" i="20" s="1"/>
  <c r="G362" i="13"/>
  <c r="D363" i="13"/>
  <c r="D624" i="13"/>
  <c r="E624" i="13" s="1"/>
  <c r="G623" i="13"/>
  <c r="D711" i="13"/>
  <c r="E711" i="13" s="1"/>
  <c r="G710" i="13"/>
  <c r="E822" i="20"/>
  <c r="F822" i="20" s="1"/>
  <c r="D823" i="20" s="1"/>
  <c r="E823" i="20" s="1"/>
  <c r="F823" i="20" s="1"/>
  <c r="D824" i="20" s="1"/>
  <c r="E1362" i="20"/>
  <c r="F1362" i="20" s="1"/>
  <c r="D1363" i="20" s="1"/>
  <c r="D537" i="13"/>
  <c r="G536" i="13"/>
  <c r="D972" i="13"/>
  <c r="G971" i="13"/>
  <c r="G275" i="13"/>
  <c r="D276" i="13"/>
  <c r="F463" i="20"/>
  <c r="D464" i="20" s="1"/>
  <c r="E464" i="20" s="1"/>
  <c r="F464" i="20" s="1"/>
  <c r="D465" i="20" s="1"/>
  <c r="E1092" i="20"/>
  <c r="F1092" i="20" s="1"/>
  <c r="D1093" i="20" s="1"/>
  <c r="E1991" i="20"/>
  <c r="F1991" i="20" s="1"/>
  <c r="D1992" i="20" s="1"/>
  <c r="G1928" i="13"/>
  <c r="D1929" i="13"/>
  <c r="E1929" i="13" s="1"/>
  <c r="F1929" i="13" s="1"/>
  <c r="D1930" i="13" s="1"/>
  <c r="D1320" i="13"/>
  <c r="G1319" i="13"/>
  <c r="E192" i="20"/>
  <c r="F192" i="20" s="1"/>
  <c r="D193" i="20" s="1"/>
  <c r="E193" i="20" s="1"/>
  <c r="F193" i="20" s="1"/>
  <c r="D194" i="20" s="1"/>
  <c r="D798" i="13"/>
  <c r="G797" i="13"/>
  <c r="G1754" i="13"/>
  <c r="D1755" i="13"/>
  <c r="D1407" i="13"/>
  <c r="E1407" i="13" s="1"/>
  <c r="F1407" i="13" s="1"/>
  <c r="D1408" i="13" s="1"/>
  <c r="G1406" i="13"/>
  <c r="E1058" i="13"/>
  <c r="F1058" i="13" s="1"/>
  <c r="E1494" i="13"/>
  <c r="F1494" i="13" s="1"/>
  <c r="D1146" i="13"/>
  <c r="G1145" i="13"/>
  <c r="G187" i="13"/>
  <c r="D188" i="13"/>
  <c r="E188" i="13" s="1"/>
  <c r="F188" i="13" s="1"/>
  <c r="D189" i="13" s="1"/>
  <c r="D1233" i="13"/>
  <c r="E1233" i="13" s="1"/>
  <c r="F1233" i="13" s="1"/>
  <c r="D1234" i="13" s="1"/>
  <c r="G1232" i="13"/>
  <c r="G1841" i="13"/>
  <c r="D1842" i="13"/>
  <c r="E1842" i="13" s="1"/>
  <c r="F24" i="20"/>
  <c r="F29" i="20" s="1"/>
  <c r="E282" i="20"/>
  <c r="F282" i="20" s="1"/>
  <c r="D283" i="20" s="1"/>
  <c r="E283" i="20" s="1"/>
  <c r="F283" i="20" s="1"/>
  <c r="D284" i="20" s="1"/>
  <c r="E284" i="20" s="1"/>
  <c r="F284" i="20" s="1"/>
  <c r="D285" i="20" s="1"/>
  <c r="D450" i="13"/>
  <c r="G449" i="13"/>
  <c r="G1667" i="13"/>
  <c r="D1668" i="13"/>
  <c r="E1632" i="20"/>
  <c r="F1632" i="20" s="1"/>
  <c r="D1633" i="20" s="1"/>
  <c r="E1633" i="20" s="1"/>
  <c r="F1633" i="20" s="1"/>
  <c r="D1634" i="20" s="1"/>
  <c r="E1634" i="20" s="1"/>
  <c r="D1581" i="13"/>
  <c r="E1581" i="13" s="1"/>
  <c r="G1580" i="13"/>
  <c r="G100" i="13"/>
  <c r="D101" i="13"/>
  <c r="E101" i="13" s="1"/>
  <c r="F101" i="13" s="1"/>
  <c r="D102" i="13" s="1"/>
  <c r="E28" i="35"/>
  <c r="I27" i="35"/>
  <c r="L27" i="35" s="1"/>
  <c r="E1547" i="20"/>
  <c r="F1547" i="20" s="1"/>
  <c r="D1548" i="20" s="1"/>
  <c r="E374" i="20"/>
  <c r="E1814" i="20"/>
  <c r="A58" i="11"/>
  <c r="C58" i="11"/>
  <c r="G31" i="35"/>
  <c r="F24" i="13"/>
  <c r="E29" i="13" s="1"/>
  <c r="E888" i="13"/>
  <c r="F888" i="13" s="1"/>
  <c r="D889" i="13" s="1"/>
  <c r="F1903" i="20"/>
  <c r="D1904" i="20" s="1"/>
  <c r="B66" i="2"/>
  <c r="B67" i="2" s="1"/>
  <c r="E919" i="20"/>
  <c r="F919" i="20" s="1"/>
  <c r="D920" i="20" s="1"/>
  <c r="L253" i="2"/>
  <c r="H253" i="2"/>
  <c r="F1273" i="20"/>
  <c r="D1274" i="20" s="1"/>
  <c r="G29" i="41"/>
  <c r="I28" i="41"/>
  <c r="F103" i="20"/>
  <c r="D104" i="20" s="1"/>
  <c r="A36" i="34"/>
  <c r="A37" i="34" s="1"/>
  <c r="I233" i="2"/>
  <c r="L233" i="2" s="1"/>
  <c r="J176" i="2" l="1"/>
  <c r="J175" i="2"/>
  <c r="L108" i="2"/>
  <c r="F1842" i="13"/>
  <c r="D1843" i="13" s="1"/>
  <c r="F1581" i="13"/>
  <c r="D1582" i="13" s="1"/>
  <c r="G1233" i="13"/>
  <c r="G1407" i="13"/>
  <c r="G1929" i="13"/>
  <c r="G101" i="13"/>
  <c r="F711" i="13"/>
  <c r="D712" i="13" s="1"/>
  <c r="E1454" i="20"/>
  <c r="F1454" i="20" s="1"/>
  <c r="D1455" i="20" s="1"/>
  <c r="F624" i="13"/>
  <c r="G624" i="13" s="1"/>
  <c r="G188" i="13"/>
  <c r="E824" i="20"/>
  <c r="F824" i="20" s="1"/>
  <c r="D825" i="20" s="1"/>
  <c r="E825" i="20" s="1"/>
  <c r="F825" i="20" s="1"/>
  <c r="D826" i="20" s="1"/>
  <c r="E1363" i="20"/>
  <c r="F1363" i="20" s="1"/>
  <c r="D1364" i="20" s="1"/>
  <c r="E1364" i="20" s="1"/>
  <c r="F1364" i="20" s="1"/>
  <c r="D1365" i="20" s="1"/>
  <c r="E1365" i="20" s="1"/>
  <c r="F1365" i="20" s="1"/>
  <c r="D1366" i="20" s="1"/>
  <c r="E194" i="20"/>
  <c r="F194" i="20" s="1"/>
  <c r="D195" i="20" s="1"/>
  <c r="E195" i="20" s="1"/>
  <c r="E1320" i="13"/>
  <c r="F1320" i="13" s="1"/>
  <c r="E276" i="13"/>
  <c r="F276" i="13" s="1"/>
  <c r="E29" i="35"/>
  <c r="I28" i="35"/>
  <c r="L28" i="35" s="1"/>
  <c r="E450" i="13"/>
  <c r="F450" i="13" s="1"/>
  <c r="E1755" i="13"/>
  <c r="F1755" i="13" s="1"/>
  <c r="E972" i="13"/>
  <c r="F972" i="13" s="1"/>
  <c r="E1146" i="13"/>
  <c r="F1146" i="13" s="1"/>
  <c r="E798" i="13"/>
  <c r="F798" i="13" s="1"/>
  <c r="E1992" i="20"/>
  <c r="F1992" i="20" s="1"/>
  <c r="D1993" i="20" s="1"/>
  <c r="E1993" i="20" s="1"/>
  <c r="F1993" i="20" s="1"/>
  <c r="D1994" i="20" s="1"/>
  <c r="E1994" i="20" s="1"/>
  <c r="F1994" i="20" s="1"/>
  <c r="D1995" i="20" s="1"/>
  <c r="G1494" i="13"/>
  <c r="D1495" i="13"/>
  <c r="E1495" i="13" s="1"/>
  <c r="E537" i="13"/>
  <c r="F537" i="13" s="1"/>
  <c r="E1668" i="13"/>
  <c r="F1668" i="13" s="1"/>
  <c r="D1669" i="13" s="1"/>
  <c r="D1059" i="13"/>
  <c r="E1059" i="13" s="1"/>
  <c r="G1058" i="13"/>
  <c r="E1093" i="20"/>
  <c r="F1093" i="20" s="1"/>
  <c r="D1094" i="20" s="1"/>
  <c r="E363" i="13"/>
  <c r="F363" i="13" s="1"/>
  <c r="D364" i="13" s="1"/>
  <c r="E364" i="13" s="1"/>
  <c r="F364" i="13" s="1"/>
  <c r="G364" i="13" s="1"/>
  <c r="E1724" i="20"/>
  <c r="F1724" i="20" s="1"/>
  <c r="D1725" i="20" s="1"/>
  <c r="E285" i="20"/>
  <c r="F285" i="20" s="1"/>
  <c r="D286" i="20" s="1"/>
  <c r="E465" i="20"/>
  <c r="F465" i="20" s="1"/>
  <c r="D466" i="20" s="1"/>
  <c r="E1548" i="20"/>
  <c r="F1548" i="20" s="1"/>
  <c r="D1549" i="20" s="1"/>
  <c r="E644" i="20"/>
  <c r="F644" i="20" s="1"/>
  <c r="D645" i="20" s="1"/>
  <c r="E734" i="20"/>
  <c r="F734" i="20" s="1"/>
  <c r="D735" i="20" s="1"/>
  <c r="E1004" i="20"/>
  <c r="F1004" i="20" s="1"/>
  <c r="D1005" i="20" s="1"/>
  <c r="E554" i="20"/>
  <c r="F554" i="20" s="1"/>
  <c r="D555" i="20" s="1"/>
  <c r="E1234" i="13"/>
  <c r="E889" i="13"/>
  <c r="F889" i="13" s="1"/>
  <c r="E1408" i="13"/>
  <c r="I29" i="41"/>
  <c r="L29" i="41" s="1"/>
  <c r="G30" i="41"/>
  <c r="E1274" i="20"/>
  <c r="F1274" i="20" s="1"/>
  <c r="D1275" i="20" s="1"/>
  <c r="B68" i="2"/>
  <c r="B70" i="2" s="1"/>
  <c r="B71" i="2" s="1"/>
  <c r="E68" i="2"/>
  <c r="G888" i="13"/>
  <c r="F374" i="20"/>
  <c r="D375" i="20" s="1"/>
  <c r="E1904" i="20"/>
  <c r="F1904" i="20" s="1"/>
  <c r="D1905" i="20" s="1"/>
  <c r="G32" i="35"/>
  <c r="E1930" i="13"/>
  <c r="L28" i="41"/>
  <c r="F1814" i="20"/>
  <c r="D1815" i="20" s="1"/>
  <c r="E102" i="13"/>
  <c r="F102" i="13" s="1"/>
  <c r="D103" i="13" s="1"/>
  <c r="E920" i="20"/>
  <c r="F920" i="20" s="1"/>
  <c r="D921" i="20" s="1"/>
  <c r="A38" i="34"/>
  <c r="B38" i="34"/>
  <c r="B37" i="34"/>
  <c r="E37" i="13"/>
  <c r="F37" i="20"/>
  <c r="E104" i="20"/>
  <c r="F104" i="20" s="1"/>
  <c r="D105" i="20" s="1"/>
  <c r="A59" i="11"/>
  <c r="A61" i="11" s="1"/>
  <c r="A62" i="11" s="1"/>
  <c r="A63" i="11" s="1"/>
  <c r="C59" i="11"/>
  <c r="F1183" i="20"/>
  <c r="D1184" i="20" s="1"/>
  <c r="F1634" i="20"/>
  <c r="D1635" i="20" s="1"/>
  <c r="E189" i="13"/>
  <c r="F189" i="13" s="1"/>
  <c r="D190" i="13" s="1"/>
  <c r="L236" i="2"/>
  <c r="G170" i="2" l="1"/>
  <c r="G189" i="2" s="1"/>
  <c r="G1842" i="13"/>
  <c r="G1581" i="13"/>
  <c r="G711" i="13"/>
  <c r="D625" i="13"/>
  <c r="E625" i="13" s="1"/>
  <c r="F1495" i="13"/>
  <c r="D1496" i="13" s="1"/>
  <c r="D799" i="13"/>
  <c r="G798" i="13"/>
  <c r="D890" i="13"/>
  <c r="E890" i="13" s="1"/>
  <c r="F890" i="13" s="1"/>
  <c r="G889" i="13"/>
  <c r="E1455" i="20"/>
  <c r="F1455" i="20" s="1"/>
  <c r="D1456" i="20" s="1"/>
  <c r="F1059" i="13"/>
  <c r="D1060" i="13" s="1"/>
  <c r="G102" i="13"/>
  <c r="D538" i="13"/>
  <c r="G537" i="13"/>
  <c r="D1321" i="13"/>
  <c r="G1320" i="13"/>
  <c r="D973" i="13"/>
  <c r="G972" i="13"/>
  <c r="D1756" i="13"/>
  <c r="G1755" i="13"/>
  <c r="E1669" i="13"/>
  <c r="F1669" i="13" s="1"/>
  <c r="F195" i="20"/>
  <c r="D196" i="20" s="1"/>
  <c r="E196" i="20" s="1"/>
  <c r="F196" i="20" s="1"/>
  <c r="D197" i="20" s="1"/>
  <c r="G363" i="13"/>
  <c r="D1147" i="13"/>
  <c r="G1146" i="13"/>
  <c r="D365" i="13"/>
  <c r="E365" i="13" s="1"/>
  <c r="F365" i="13" s="1"/>
  <c r="D451" i="13"/>
  <c r="G450" i="13"/>
  <c r="E30" i="35"/>
  <c r="I29" i="35"/>
  <c r="L29" i="35" s="1"/>
  <c r="E1094" i="20"/>
  <c r="F1094" i="20" s="1"/>
  <c r="D1095" i="20" s="1"/>
  <c r="E1095" i="20" s="1"/>
  <c r="F1095" i="20" s="1"/>
  <c r="D1096" i="20" s="1"/>
  <c r="D277" i="13"/>
  <c r="G276" i="13"/>
  <c r="G1668" i="13"/>
  <c r="E555" i="20"/>
  <c r="F555" i="20" s="1"/>
  <c r="D556" i="20" s="1"/>
  <c r="E1725" i="20"/>
  <c r="F1725" i="20" s="1"/>
  <c r="D1726" i="20" s="1"/>
  <c r="E826" i="20"/>
  <c r="F826" i="20" s="1"/>
  <c r="D827" i="20" s="1"/>
  <c r="E105" i="20"/>
  <c r="F105" i="20" s="1"/>
  <c r="D106" i="20" s="1"/>
  <c r="E921" i="20"/>
  <c r="F921" i="20" s="1"/>
  <c r="D922" i="20" s="1"/>
  <c r="E286" i="20"/>
  <c r="F286" i="20" s="1"/>
  <c r="D287" i="20" s="1"/>
  <c r="E1366" i="20"/>
  <c r="F1366" i="20" s="1"/>
  <c r="D1367" i="20" s="1"/>
  <c r="E1275" i="20"/>
  <c r="F1275" i="20" s="1"/>
  <c r="D1276" i="20" s="1"/>
  <c r="E1549" i="20"/>
  <c r="F1549" i="20" s="1"/>
  <c r="D1550" i="20" s="1"/>
  <c r="G31" i="41"/>
  <c r="I30" i="41"/>
  <c r="L30" i="41" s="1"/>
  <c r="G39" i="35"/>
  <c r="G36" i="35"/>
  <c r="A40" i="34"/>
  <c r="E1005" i="20"/>
  <c r="F1005" i="20" s="1"/>
  <c r="D1006" i="20" s="1"/>
  <c r="G189" i="13"/>
  <c r="E1635" i="20"/>
  <c r="F1635" i="20" s="1"/>
  <c r="D1636" i="20" s="1"/>
  <c r="E712" i="13"/>
  <c r="F712" i="13" s="1"/>
  <c r="D713" i="13" s="1"/>
  <c r="E1843" i="13"/>
  <c r="E466" i="20"/>
  <c r="F466" i="20" s="1"/>
  <c r="D467" i="20" s="1"/>
  <c r="E190" i="13"/>
  <c r="F190" i="13" s="1"/>
  <c r="D191" i="13" s="1"/>
  <c r="E103" i="13"/>
  <c r="F103" i="13" s="1"/>
  <c r="F1234" i="13"/>
  <c r="E645" i="20"/>
  <c r="F645" i="20" s="1"/>
  <c r="D646" i="20" s="1"/>
  <c r="E1184" i="20"/>
  <c r="F1184" i="20" s="1"/>
  <c r="D1185" i="20" s="1"/>
  <c r="E1905" i="20"/>
  <c r="F1905" i="20" s="1"/>
  <c r="D1906" i="20" s="1"/>
  <c r="E735" i="20"/>
  <c r="F735" i="20" s="1"/>
  <c r="D736" i="20" s="1"/>
  <c r="E1582" i="13"/>
  <c r="F1582" i="13" s="1"/>
  <c r="D1583" i="13" s="1"/>
  <c r="E375" i="20"/>
  <c r="F375" i="20" s="1"/>
  <c r="D376" i="20" s="1"/>
  <c r="E1815" i="20"/>
  <c r="F1815" i="20" s="1"/>
  <c r="D1816" i="20" s="1"/>
  <c r="A64" i="11"/>
  <c r="A65" i="11" s="1"/>
  <c r="E1995" i="20"/>
  <c r="F1995" i="20" s="1"/>
  <c r="D1996" i="20" s="1"/>
  <c r="F1930" i="13"/>
  <c r="B72" i="2"/>
  <c r="B73" i="2" s="1"/>
  <c r="F1408" i="13"/>
  <c r="L189" i="2" l="1"/>
  <c r="F35" i="20"/>
  <c r="E35" i="13"/>
  <c r="G1495" i="13"/>
  <c r="E1456" i="20"/>
  <c r="F1456" i="20" s="1"/>
  <c r="D1457" i="20" s="1"/>
  <c r="E1457" i="20" s="1"/>
  <c r="F1457" i="20" s="1"/>
  <c r="D1458" i="20" s="1"/>
  <c r="G1059" i="13"/>
  <c r="E799" i="13"/>
  <c r="F799" i="13" s="1"/>
  <c r="E1096" i="20"/>
  <c r="F1096" i="20" s="1"/>
  <c r="D1097" i="20" s="1"/>
  <c r="E1097" i="20" s="1"/>
  <c r="F1097" i="20" s="1"/>
  <c r="D1098" i="20" s="1"/>
  <c r="D1670" i="13"/>
  <c r="G1669" i="13"/>
  <c r="E451" i="13"/>
  <c r="F451" i="13" s="1"/>
  <c r="D452" i="13" s="1"/>
  <c r="E452" i="13" s="1"/>
  <c r="F452" i="13" s="1"/>
  <c r="D453" i="13" s="1"/>
  <c r="E538" i="13"/>
  <c r="F538" i="13" s="1"/>
  <c r="D539" i="13" s="1"/>
  <c r="E79" i="2"/>
  <c r="G190" i="13"/>
  <c r="E277" i="13"/>
  <c r="F277" i="13" s="1"/>
  <c r="E1756" i="13"/>
  <c r="F1756" i="13" s="1"/>
  <c r="E1147" i="13"/>
  <c r="F1147" i="13" s="1"/>
  <c r="D1148" i="13" s="1"/>
  <c r="E1148" i="13" s="1"/>
  <c r="F1148" i="13" s="1"/>
  <c r="D1149" i="13" s="1"/>
  <c r="E973" i="13"/>
  <c r="F973" i="13" s="1"/>
  <c r="E31" i="35"/>
  <c r="I30" i="35"/>
  <c r="L30" i="35" s="1"/>
  <c r="E1321" i="13"/>
  <c r="F1321" i="13" s="1"/>
  <c r="D1322" i="13" s="1"/>
  <c r="E1322" i="13" s="1"/>
  <c r="C65" i="11"/>
  <c r="E922" i="20"/>
  <c r="F922" i="20" s="1"/>
  <c r="D923" i="20" s="1"/>
  <c r="E106" i="20"/>
  <c r="F106" i="20" s="1"/>
  <c r="D107" i="20" s="1"/>
  <c r="D104" i="13"/>
  <c r="G103" i="13"/>
  <c r="E1550" i="20"/>
  <c r="F1550" i="20" s="1"/>
  <c r="D1551" i="20" s="1"/>
  <c r="D366" i="13"/>
  <c r="G365" i="13"/>
  <c r="E467" i="20"/>
  <c r="F467" i="20" s="1"/>
  <c r="D468" i="20" s="1"/>
  <c r="E1816" i="20"/>
  <c r="F1816" i="20" s="1"/>
  <c r="D1817" i="20" s="1"/>
  <c r="D891" i="13"/>
  <c r="G890" i="13"/>
  <c r="E1996" i="20"/>
  <c r="F1996" i="20" s="1"/>
  <c r="D1997" i="20" s="1"/>
  <c r="E1185" i="20"/>
  <c r="F1185" i="20" s="1"/>
  <c r="D1186" i="20" s="1"/>
  <c r="E1367" i="20"/>
  <c r="F1367" i="20" s="1"/>
  <c r="D1368" i="20" s="1"/>
  <c r="E1726" i="20"/>
  <c r="F1726" i="20" s="1"/>
  <c r="D1727" i="20" s="1"/>
  <c r="E736" i="20"/>
  <c r="F736" i="20" s="1"/>
  <c r="D737" i="20" s="1"/>
  <c r="E646" i="20"/>
  <c r="F646" i="20" s="1"/>
  <c r="D647" i="20" s="1"/>
  <c r="E197" i="20"/>
  <c r="F197" i="20" s="1"/>
  <c r="D198" i="20" s="1"/>
  <c r="E287" i="20"/>
  <c r="F287" i="20" s="1"/>
  <c r="D288" i="20" s="1"/>
  <c r="E556" i="20"/>
  <c r="F556" i="20" s="1"/>
  <c r="D557" i="20" s="1"/>
  <c r="E827" i="20"/>
  <c r="F827" i="20" s="1"/>
  <c r="D828" i="20" s="1"/>
  <c r="G712" i="13"/>
  <c r="E1496" i="13"/>
  <c r="F1496" i="13" s="1"/>
  <c r="E713" i="13"/>
  <c r="F713" i="13" s="1"/>
  <c r="F625" i="13"/>
  <c r="I31" i="41"/>
  <c r="L31" i="41" s="1"/>
  <c r="G32" i="41"/>
  <c r="E1583" i="13"/>
  <c r="F1583" i="13" s="1"/>
  <c r="D1584" i="13" s="1"/>
  <c r="E1636" i="20"/>
  <c r="F1636" i="20" s="1"/>
  <c r="D1637" i="20" s="1"/>
  <c r="D1409" i="13"/>
  <c r="G1408" i="13"/>
  <c r="E1906" i="20"/>
  <c r="F1906" i="20" s="1"/>
  <c r="D1907" i="20" s="1"/>
  <c r="E1060" i="13"/>
  <c r="E376" i="20"/>
  <c r="F376" i="20" s="1"/>
  <c r="D377" i="20" s="1"/>
  <c r="B74" i="2"/>
  <c r="B75" i="2" s="1"/>
  <c r="C66" i="11"/>
  <c r="A66" i="11"/>
  <c r="A67" i="11" s="1"/>
  <c r="C68" i="11" s="1"/>
  <c r="D1235" i="13"/>
  <c r="G1234" i="13"/>
  <c r="E1276" i="20"/>
  <c r="F1276" i="20" s="1"/>
  <c r="D1277" i="20" s="1"/>
  <c r="D1931" i="13"/>
  <c r="G1930" i="13"/>
  <c r="A41" i="34"/>
  <c r="G40" i="35"/>
  <c r="E1006" i="20"/>
  <c r="F1006" i="20" s="1"/>
  <c r="D1007" i="20" s="1"/>
  <c r="E191" i="13"/>
  <c r="F191" i="13" s="1"/>
  <c r="G1582" i="13"/>
  <c r="F1843" i="13"/>
  <c r="G452" i="13" l="1"/>
  <c r="F1322" i="13"/>
  <c r="G1322" i="13" s="1"/>
  <c r="G451" i="13"/>
  <c r="D800" i="13"/>
  <c r="G799" i="13"/>
  <c r="D192" i="13"/>
  <c r="E192" i="13" s="1"/>
  <c r="F192" i="13" s="1"/>
  <c r="G191" i="13"/>
  <c r="D1757" i="13"/>
  <c r="G1756" i="13"/>
  <c r="D278" i="13"/>
  <c r="G277" i="13"/>
  <c r="G538" i="13"/>
  <c r="E32" i="35"/>
  <c r="I32" i="35" s="1"/>
  <c r="L32" i="35" s="1"/>
  <c r="I31" i="35"/>
  <c r="E539" i="13"/>
  <c r="F539" i="13" s="1"/>
  <c r="D974" i="13"/>
  <c r="E974" i="13" s="1"/>
  <c r="F974" i="13" s="1"/>
  <c r="D975" i="13" s="1"/>
  <c r="G973" i="13"/>
  <c r="E80" i="2"/>
  <c r="G1148" i="13"/>
  <c r="G1147" i="13"/>
  <c r="E1670" i="13"/>
  <c r="F1670" i="13" s="1"/>
  <c r="D1671" i="13" s="1"/>
  <c r="G1321" i="13"/>
  <c r="E377" i="20"/>
  <c r="F377" i="20" s="1"/>
  <c r="D378" i="20" s="1"/>
  <c r="E1817" i="20"/>
  <c r="F1817" i="20" s="1"/>
  <c r="D1818" i="20" s="1"/>
  <c r="E828" i="20"/>
  <c r="F828" i="20" s="1"/>
  <c r="D829" i="20" s="1"/>
  <c r="E1098" i="20"/>
  <c r="F1098" i="20" s="1"/>
  <c r="D1099" i="20" s="1"/>
  <c r="E1186" i="20"/>
  <c r="F1186" i="20" s="1"/>
  <c r="D1187" i="20" s="1"/>
  <c r="E1907" i="20"/>
  <c r="F1907" i="20" s="1"/>
  <c r="D1908" i="20" s="1"/>
  <c r="E737" i="20"/>
  <c r="F737" i="20" s="1"/>
  <c r="D738" i="20" s="1"/>
  <c r="E1997" i="20"/>
  <c r="F1997" i="20" s="1"/>
  <c r="D1998" i="20" s="1"/>
  <c r="E923" i="20"/>
  <c r="F923" i="20" s="1"/>
  <c r="D924" i="20" s="1"/>
  <c r="D1497" i="13"/>
  <c r="G1496" i="13"/>
  <c r="E288" i="20"/>
  <c r="F288" i="20" s="1"/>
  <c r="D289" i="20" s="1"/>
  <c r="D714" i="13"/>
  <c r="G713" i="13"/>
  <c r="E1584" i="13"/>
  <c r="F1584" i="13" s="1"/>
  <c r="A42" i="34"/>
  <c r="A43" i="34" s="1"/>
  <c r="G1583" i="13"/>
  <c r="E107" i="20"/>
  <c r="F107" i="20" s="1"/>
  <c r="D108" i="20" s="1"/>
  <c r="G36" i="41"/>
  <c r="G39" i="41"/>
  <c r="I32" i="41"/>
  <c r="D1844" i="13"/>
  <c r="G1843" i="13"/>
  <c r="E198" i="20"/>
  <c r="F198" i="20" s="1"/>
  <c r="D199" i="20" s="1"/>
  <c r="E1007" i="20"/>
  <c r="F1007" i="20" s="1"/>
  <c r="D1008" i="20" s="1"/>
  <c r="C67" i="11"/>
  <c r="A68" i="11"/>
  <c r="E647" i="20"/>
  <c r="F647" i="20" s="1"/>
  <c r="D648" i="20" s="1"/>
  <c r="E1368" i="20"/>
  <c r="F1368" i="20" s="1"/>
  <c r="D1369" i="20" s="1"/>
  <c r="E1277" i="20"/>
  <c r="F1277" i="20" s="1"/>
  <c r="D1278" i="20" s="1"/>
  <c r="E468" i="20"/>
  <c r="F468" i="20" s="1"/>
  <c r="D469" i="20" s="1"/>
  <c r="E1931" i="13"/>
  <c r="F1931" i="13" s="1"/>
  <c r="D1932" i="13" s="1"/>
  <c r="E1409" i="13"/>
  <c r="F1409" i="13" s="1"/>
  <c r="D626" i="13"/>
  <c r="G625" i="13"/>
  <c r="E891" i="13"/>
  <c r="F891" i="13" s="1"/>
  <c r="E366" i="13"/>
  <c r="F366" i="13" s="1"/>
  <c r="D367" i="13" s="1"/>
  <c r="E1458" i="20"/>
  <c r="F1458" i="20" s="1"/>
  <c r="D1459" i="20" s="1"/>
  <c r="E1727" i="20"/>
  <c r="F1727" i="20" s="1"/>
  <c r="D1728" i="20" s="1"/>
  <c r="E1637" i="20"/>
  <c r="F1637" i="20" s="1"/>
  <c r="D1638" i="20" s="1"/>
  <c r="E557" i="20"/>
  <c r="F557" i="20" s="1"/>
  <c r="D558" i="20" s="1"/>
  <c r="E1551" i="20"/>
  <c r="F1551" i="20" s="1"/>
  <c r="D1552" i="20" s="1"/>
  <c r="E104" i="13"/>
  <c r="F104" i="13" s="1"/>
  <c r="D105" i="13" s="1"/>
  <c r="G41" i="35"/>
  <c r="E1235" i="13"/>
  <c r="F1235" i="13" s="1"/>
  <c r="D1236" i="13" s="1"/>
  <c r="B76" i="2"/>
  <c r="B78" i="2" s="1"/>
  <c r="B79" i="2" s="1"/>
  <c r="E81" i="2"/>
  <c r="E76" i="2"/>
  <c r="F1060" i="13"/>
  <c r="E453" i="13"/>
  <c r="F453" i="13" s="1"/>
  <c r="E1149" i="13"/>
  <c r="F1149" i="13" s="1"/>
  <c r="D1323" i="13" l="1"/>
  <c r="E1323" i="13" s="1"/>
  <c r="F1323" i="13" s="1"/>
  <c r="G1670" i="13"/>
  <c r="G974" i="13"/>
  <c r="E800" i="13"/>
  <c r="F800" i="13" s="1"/>
  <c r="D1150" i="13"/>
  <c r="E1150" i="13" s="1"/>
  <c r="F1150" i="13" s="1"/>
  <c r="G1149" i="13"/>
  <c r="D540" i="13"/>
  <c r="G539" i="13"/>
  <c r="G104" i="13"/>
  <c r="E278" i="13"/>
  <c r="F278" i="13" s="1"/>
  <c r="E1757" i="13"/>
  <c r="F1757" i="13" s="1"/>
  <c r="D1758" i="13" s="1"/>
  <c r="E1671" i="13"/>
  <c r="F1671" i="13" s="1"/>
  <c r="D1672" i="13" s="1"/>
  <c r="E1672" i="13" s="1"/>
  <c r="F1672" i="13" s="1"/>
  <c r="D1673" i="13" s="1"/>
  <c r="L31" i="35"/>
  <c r="L33" i="35" s="1"/>
  <c r="E36" i="35" s="1"/>
  <c r="I36" i="35" s="1"/>
  <c r="L36" i="35" s="1"/>
  <c r="I33" i="35"/>
  <c r="E469" i="20"/>
  <c r="F469" i="20" s="1"/>
  <c r="D470" i="20" s="1"/>
  <c r="D1585" i="13"/>
  <c r="G1584" i="13"/>
  <c r="E1998" i="20"/>
  <c r="F1998" i="20" s="1"/>
  <c r="D1999" i="20" s="1"/>
  <c r="E558" i="20"/>
  <c r="F558" i="20" s="1"/>
  <c r="D559" i="20" s="1"/>
  <c r="E1278" i="20"/>
  <c r="F1278" i="20" s="1"/>
  <c r="D1279" i="20" s="1"/>
  <c r="E108" i="20"/>
  <c r="F108" i="20" s="1"/>
  <c r="D109" i="20" s="1"/>
  <c r="E738" i="20"/>
  <c r="F738" i="20" s="1"/>
  <c r="D739" i="20" s="1"/>
  <c r="D193" i="13"/>
  <c r="G192" i="13"/>
  <c r="E1099" i="20"/>
  <c r="F1099" i="20" s="1"/>
  <c r="D1100" i="20" s="1"/>
  <c r="D892" i="13"/>
  <c r="G891" i="13"/>
  <c r="E289" i="20"/>
  <c r="F289" i="20" s="1"/>
  <c r="D290" i="20" s="1"/>
  <c r="E1552" i="20"/>
  <c r="F1552" i="20" s="1"/>
  <c r="D1553" i="20" s="1"/>
  <c r="D454" i="13"/>
  <c r="G453" i="13"/>
  <c r="E1638" i="20"/>
  <c r="F1638" i="20" s="1"/>
  <c r="D1639" i="20" s="1"/>
  <c r="D1410" i="13"/>
  <c r="G1409" i="13"/>
  <c r="E648" i="20"/>
  <c r="F648" i="20" s="1"/>
  <c r="D649" i="20" s="1"/>
  <c r="E1187" i="20"/>
  <c r="F1187" i="20" s="1"/>
  <c r="D1188" i="20" s="1"/>
  <c r="E378" i="20"/>
  <c r="F378" i="20" s="1"/>
  <c r="D379" i="20" s="1"/>
  <c r="E1908" i="20"/>
  <c r="F1908" i="20" s="1"/>
  <c r="D1909" i="20" s="1"/>
  <c r="D1061" i="13"/>
  <c r="G1060" i="13"/>
  <c r="E105" i="13"/>
  <c r="F105" i="13" s="1"/>
  <c r="C64" i="20"/>
  <c r="B80" i="2"/>
  <c r="B81" i="2" s="1"/>
  <c r="B82" i="2" s="1"/>
  <c r="C48" i="11" s="1"/>
  <c r="C64" i="13"/>
  <c r="G1931" i="13"/>
  <c r="E199" i="20"/>
  <c r="F199" i="20" s="1"/>
  <c r="D200" i="20" s="1"/>
  <c r="G40" i="41"/>
  <c r="E1497" i="13"/>
  <c r="F1497" i="13" s="1"/>
  <c r="E1369" i="20"/>
  <c r="F1369" i="20" s="1"/>
  <c r="D1370" i="20" s="1"/>
  <c r="E1236" i="13"/>
  <c r="F1236" i="13" s="1"/>
  <c r="E924" i="20"/>
  <c r="F924" i="20" s="1"/>
  <c r="D925" i="20" s="1"/>
  <c r="E1818" i="20"/>
  <c r="F1818" i="20" s="1"/>
  <c r="D1819" i="20" s="1"/>
  <c r="E1459" i="20"/>
  <c r="F1459" i="20" s="1"/>
  <c r="D1460" i="20" s="1"/>
  <c r="E1008" i="20"/>
  <c r="F1008" i="20" s="1"/>
  <c r="D1009" i="20" s="1"/>
  <c r="E1932" i="13"/>
  <c r="F1932" i="13" s="1"/>
  <c r="E626" i="13"/>
  <c r="F626" i="13" s="1"/>
  <c r="D627" i="13" s="1"/>
  <c r="E829" i="20"/>
  <c r="F829" i="20" s="1"/>
  <c r="D830" i="20" s="1"/>
  <c r="G1235" i="13"/>
  <c r="G366" i="13"/>
  <c r="A69" i="11"/>
  <c r="C69" i="11"/>
  <c r="E1844" i="13"/>
  <c r="F1844" i="13" s="1"/>
  <c r="A44" i="34"/>
  <c r="B44" i="34"/>
  <c r="L32" i="41"/>
  <c r="L33" i="41" s="1"/>
  <c r="E36" i="41" s="1"/>
  <c r="I36" i="41" s="1"/>
  <c r="I33" i="41"/>
  <c r="G42" i="35"/>
  <c r="E1728" i="20"/>
  <c r="F1728" i="20" s="1"/>
  <c r="D1729" i="20" s="1"/>
  <c r="E367" i="13"/>
  <c r="F367" i="13" s="1"/>
  <c r="B43" i="34"/>
  <c r="E714" i="13"/>
  <c r="F714" i="13" s="1"/>
  <c r="E975" i="13"/>
  <c r="F975" i="13" s="1"/>
  <c r="D976" i="13" s="1"/>
  <c r="G1671" i="13" l="1"/>
  <c r="G975" i="13"/>
  <c r="D801" i="13"/>
  <c r="G800" i="13"/>
  <c r="G1672" i="13"/>
  <c r="D368" i="13"/>
  <c r="E368" i="13" s="1"/>
  <c r="F368" i="13" s="1"/>
  <c r="G367" i="13"/>
  <c r="D279" i="13"/>
  <c r="G278" i="13"/>
  <c r="E39" i="35"/>
  <c r="J39" i="35"/>
  <c r="J40" i="35" s="1"/>
  <c r="J41" i="35" s="1"/>
  <c r="J42" i="35" s="1"/>
  <c r="J43" i="35" s="1"/>
  <c r="J44" i="35" s="1"/>
  <c r="J45" i="35" s="1"/>
  <c r="J46" i="35" s="1"/>
  <c r="J47" i="35" s="1"/>
  <c r="J48" i="35" s="1"/>
  <c r="J49" i="35" s="1"/>
  <c r="J50" i="35" s="1"/>
  <c r="G1757" i="13"/>
  <c r="E1758" i="13"/>
  <c r="F1758" i="13" s="1"/>
  <c r="D1759" i="13" s="1"/>
  <c r="E540" i="13"/>
  <c r="F540" i="13" s="1"/>
  <c r="E1819" i="20"/>
  <c r="F1819" i="20" s="1"/>
  <c r="D715" i="13"/>
  <c r="G714" i="13"/>
  <c r="D1498" i="13"/>
  <c r="G1497" i="13"/>
  <c r="E200" i="20"/>
  <c r="F200" i="20" s="1"/>
  <c r="D201" i="20" s="1"/>
  <c r="E109" i="20"/>
  <c r="F109" i="20" s="1"/>
  <c r="D110" i="20" s="1"/>
  <c r="E290" i="20"/>
  <c r="F290" i="20" s="1"/>
  <c r="D291" i="20" s="1"/>
  <c r="E1188" i="20"/>
  <c r="F1188" i="20" s="1"/>
  <c r="D1845" i="13"/>
  <c r="G1844" i="13"/>
  <c r="D1237" i="13"/>
  <c r="G1236" i="13"/>
  <c r="E830" i="20"/>
  <c r="F830" i="20" s="1"/>
  <c r="E1729" i="20"/>
  <c r="F1729" i="20" s="1"/>
  <c r="D1730" i="20" s="1"/>
  <c r="D1933" i="13"/>
  <c r="G1932" i="13"/>
  <c r="D1324" i="13"/>
  <c r="G1323" i="13"/>
  <c r="E1553" i="20"/>
  <c r="F1553" i="20" s="1"/>
  <c r="E1009" i="20"/>
  <c r="F1009" i="20" s="1"/>
  <c r="D1010" i="20" s="1"/>
  <c r="D106" i="13"/>
  <c r="G105" i="13"/>
  <c r="D1151" i="13"/>
  <c r="G1150" i="13"/>
  <c r="E1999" i="20"/>
  <c r="F1999" i="20" s="1"/>
  <c r="E627" i="13"/>
  <c r="F627" i="13" s="1"/>
  <c r="E1410" i="13"/>
  <c r="F1410" i="13" s="1"/>
  <c r="D1411" i="13" s="1"/>
  <c r="E1370" i="20"/>
  <c r="F1370" i="20" s="1"/>
  <c r="D1371" i="20" s="1"/>
  <c r="B85" i="2"/>
  <c r="B86" i="2" s="1"/>
  <c r="G626" i="13"/>
  <c r="E379" i="20"/>
  <c r="F379" i="20" s="1"/>
  <c r="E1279" i="20"/>
  <c r="F1279" i="20" s="1"/>
  <c r="D1280" i="20" s="1"/>
  <c r="E976" i="13"/>
  <c r="F976" i="13" s="1"/>
  <c r="E892" i="13"/>
  <c r="F892" i="13" s="1"/>
  <c r="E1673" i="13"/>
  <c r="F1673" i="13" s="1"/>
  <c r="E1585" i="13"/>
  <c r="F1585" i="13" s="1"/>
  <c r="E1639" i="20"/>
  <c r="F1639" i="20" s="1"/>
  <c r="E470" i="20"/>
  <c r="F470" i="20" s="1"/>
  <c r="L36" i="41"/>
  <c r="G41" i="41"/>
  <c r="E1100" i="20"/>
  <c r="F1100" i="20" s="1"/>
  <c r="D1101" i="20" s="1"/>
  <c r="E559" i="20"/>
  <c r="F559" i="20" s="1"/>
  <c r="E1909" i="20"/>
  <c r="F1909" i="20" s="1"/>
  <c r="D1910" i="20" s="1"/>
  <c r="E454" i="13"/>
  <c r="F454" i="13" s="1"/>
  <c r="E925" i="20"/>
  <c r="F925" i="20" s="1"/>
  <c r="D926" i="20" s="1"/>
  <c r="E1061" i="13"/>
  <c r="F1061" i="13" s="1"/>
  <c r="E649" i="20"/>
  <c r="F649" i="20" s="1"/>
  <c r="E739" i="20"/>
  <c r="F739" i="20" s="1"/>
  <c r="E1460" i="20"/>
  <c r="F1460" i="20" s="1"/>
  <c r="D1461" i="20" s="1"/>
  <c r="G43" i="35"/>
  <c r="A46" i="34"/>
  <c r="E82" i="2"/>
  <c r="E193" i="13"/>
  <c r="F193" i="13" s="1"/>
  <c r="L39" i="35" l="1"/>
  <c r="E40" i="35" s="1"/>
  <c r="I40" i="35" s="1"/>
  <c r="D831" i="20"/>
  <c r="E831" i="20" s="1"/>
  <c r="F831" i="20" s="1"/>
  <c r="G1410" i="13"/>
  <c r="I39" i="35"/>
  <c r="E801" i="13"/>
  <c r="F801" i="13" s="1"/>
  <c r="D560" i="20"/>
  <c r="E560" i="20" s="1"/>
  <c r="F560" i="20" s="1"/>
  <c r="D1554" i="20"/>
  <c r="E1554" i="20" s="1"/>
  <c r="F1554" i="20" s="1"/>
  <c r="D541" i="13"/>
  <c r="G540" i="13"/>
  <c r="E1759" i="13"/>
  <c r="F1759" i="13" s="1"/>
  <c r="D1760" i="13" s="1"/>
  <c r="E279" i="13"/>
  <c r="F279" i="13" s="1"/>
  <c r="D280" i="13" s="1"/>
  <c r="E280" i="13" s="1"/>
  <c r="F280" i="13" s="1"/>
  <c r="D281" i="13" s="1"/>
  <c r="G1758" i="13"/>
  <c r="D1062" i="13"/>
  <c r="G1061" i="13"/>
  <c r="D977" i="13"/>
  <c r="G976" i="13"/>
  <c r="E110" i="20"/>
  <c r="F110" i="20" s="1"/>
  <c r="E1461" i="20"/>
  <c r="F1461" i="20" s="1"/>
  <c r="E926" i="20"/>
  <c r="F926" i="20" s="1"/>
  <c r="D1674" i="13"/>
  <c r="G1673" i="13"/>
  <c r="D2000" i="20"/>
  <c r="E291" i="20"/>
  <c r="F291" i="20" s="1"/>
  <c r="D194" i="13"/>
  <c r="G193" i="13"/>
  <c r="D893" i="13"/>
  <c r="G892" i="13"/>
  <c r="E39" i="41"/>
  <c r="J39" i="41"/>
  <c r="E1151" i="13"/>
  <c r="F1151" i="13" s="1"/>
  <c r="E201" i="20"/>
  <c r="F201" i="20" s="1"/>
  <c r="D740" i="20"/>
  <c r="D471" i="20"/>
  <c r="E1371" i="20"/>
  <c r="F1371" i="20" s="1"/>
  <c r="E1101" i="20"/>
  <c r="F1101" i="20" s="1"/>
  <c r="E1324" i="13"/>
  <c r="F1324" i="13" s="1"/>
  <c r="D1325" i="13" s="1"/>
  <c r="D650" i="20"/>
  <c r="D455" i="13"/>
  <c r="G454" i="13"/>
  <c r="D1640" i="20"/>
  <c r="E1411" i="13"/>
  <c r="F1411" i="13" s="1"/>
  <c r="D1412" i="13" s="1"/>
  <c r="E1730" i="20"/>
  <c r="F1730" i="20" s="1"/>
  <c r="E1845" i="13"/>
  <c r="F1845" i="13" s="1"/>
  <c r="D369" i="13"/>
  <c r="G368" i="13"/>
  <c r="G42" i="41"/>
  <c r="E1910" i="20"/>
  <c r="F1910" i="20" s="1"/>
  <c r="E1280" i="20"/>
  <c r="F1280" i="20" s="1"/>
  <c r="E1010" i="20"/>
  <c r="F1010" i="20" s="1"/>
  <c r="D1189" i="20"/>
  <c r="E715" i="13"/>
  <c r="F715" i="13" s="1"/>
  <c r="D716" i="13" s="1"/>
  <c r="D1586" i="13"/>
  <c r="G1585" i="13"/>
  <c r="D380" i="20"/>
  <c r="D628" i="13"/>
  <c r="G627" i="13"/>
  <c r="D1820" i="20"/>
  <c r="B87" i="2"/>
  <c r="B88" i="2" s="1"/>
  <c r="B89" i="2" s="1"/>
  <c r="B90" i="2" s="1"/>
  <c r="B91" i="2" s="1"/>
  <c r="A47" i="34"/>
  <c r="E1498" i="13"/>
  <c r="F1498" i="13" s="1"/>
  <c r="G44" i="35"/>
  <c r="J53" i="35"/>
  <c r="J55" i="35" s="1"/>
  <c r="E106" i="13"/>
  <c r="F106" i="13" s="1"/>
  <c r="D107" i="13" s="1"/>
  <c r="E1933" i="13"/>
  <c r="F1933" i="13" s="1"/>
  <c r="D1934" i="13" s="1"/>
  <c r="E1237" i="13"/>
  <c r="F1237" i="13" s="1"/>
  <c r="L40" i="35" l="1"/>
  <c r="E41" i="35" s="1"/>
  <c r="L41" i="35" s="1"/>
  <c r="E42" i="35" s="1"/>
  <c r="D802" i="13"/>
  <c r="E802" i="13" s="1"/>
  <c r="F802" i="13" s="1"/>
  <c r="D803" i="13" s="1"/>
  <c r="G801" i="13"/>
  <c r="G279" i="13"/>
  <c r="E91" i="2"/>
  <c r="G280" i="13"/>
  <c r="D111" i="20"/>
  <c r="E111" i="20" s="1"/>
  <c r="F111" i="20" s="1"/>
  <c r="D1372" i="20"/>
  <c r="E1372" i="20" s="1"/>
  <c r="F1372" i="20" s="1"/>
  <c r="G1759" i="13"/>
  <c r="E1760" i="13"/>
  <c r="F1760" i="13" s="1"/>
  <c r="D1761" i="13" s="1"/>
  <c r="G715" i="13"/>
  <c r="E541" i="13"/>
  <c r="F541" i="13" s="1"/>
  <c r="D542" i="13" s="1"/>
  <c r="G1933" i="13"/>
  <c r="E1820" i="20"/>
  <c r="F1820" i="20" s="1"/>
  <c r="D1011" i="20"/>
  <c r="D1846" i="13"/>
  <c r="G1845" i="13"/>
  <c r="D1152" i="13"/>
  <c r="G1151" i="13"/>
  <c r="D1238" i="13"/>
  <c r="G1237" i="13"/>
  <c r="D1499" i="13"/>
  <c r="G1498" i="13"/>
  <c r="D1731" i="20"/>
  <c r="E1934" i="13"/>
  <c r="F1934" i="13" s="1"/>
  <c r="D1935" i="13" s="1"/>
  <c r="E716" i="13"/>
  <c r="F716" i="13" s="1"/>
  <c r="G1411" i="13"/>
  <c r="G1324" i="13"/>
  <c r="E977" i="13"/>
  <c r="F977" i="13" s="1"/>
  <c r="D978" i="13" s="1"/>
  <c r="D1555" i="20"/>
  <c r="D1281" i="20"/>
  <c r="E1412" i="13"/>
  <c r="F1412" i="13" s="1"/>
  <c r="D1413" i="13" s="1"/>
  <c r="E1325" i="13"/>
  <c r="F1325" i="13" s="1"/>
  <c r="E471" i="20"/>
  <c r="F471" i="20" s="1"/>
  <c r="E380" i="20"/>
  <c r="F380" i="20" s="1"/>
  <c r="D381" i="20" s="1"/>
  <c r="D1102" i="20"/>
  <c r="D561" i="20"/>
  <c r="D292" i="20"/>
  <c r="D927" i="20"/>
  <c r="D832" i="20"/>
  <c r="E369" i="13"/>
  <c r="F369" i="13" s="1"/>
  <c r="D202" i="20"/>
  <c r="D1462" i="20"/>
  <c r="E650" i="20"/>
  <c r="F650" i="20" s="1"/>
  <c r="E1586" i="13"/>
  <c r="F1586" i="13" s="1"/>
  <c r="D1587" i="13" s="1"/>
  <c r="E1189" i="20"/>
  <c r="F1189" i="20" s="1"/>
  <c r="D1911" i="20"/>
  <c r="G106" i="13"/>
  <c r="E1640" i="20"/>
  <c r="F1640" i="20" s="1"/>
  <c r="E281" i="13"/>
  <c r="F281" i="13" s="1"/>
  <c r="D282" i="13" s="1"/>
  <c r="E893" i="13"/>
  <c r="F893" i="13" s="1"/>
  <c r="D894" i="13" s="1"/>
  <c r="E107" i="13"/>
  <c r="F107" i="13" s="1"/>
  <c r="J40" i="41"/>
  <c r="J41" i="41" s="1"/>
  <c r="J42" i="41" s="1"/>
  <c r="J43" i="41" s="1"/>
  <c r="J44" i="41" s="1"/>
  <c r="J45" i="41" s="1"/>
  <c r="J46" i="41" s="1"/>
  <c r="J47" i="41" s="1"/>
  <c r="J48" i="41" s="1"/>
  <c r="J49" i="41" s="1"/>
  <c r="J50" i="41" s="1"/>
  <c r="E2000" i="20"/>
  <c r="F2000" i="20" s="1"/>
  <c r="A48" i="34"/>
  <c r="A49" i="34" s="1"/>
  <c r="E455" i="13"/>
  <c r="F455" i="13" s="1"/>
  <c r="D456" i="13" s="1"/>
  <c r="E740" i="20"/>
  <c r="F740" i="20" s="1"/>
  <c r="L39" i="41"/>
  <c r="E40" i="41" s="1"/>
  <c r="I39" i="41"/>
  <c r="E194" i="13"/>
  <c r="F194" i="13" s="1"/>
  <c r="G45" i="35"/>
  <c r="B93" i="2"/>
  <c r="B95" i="2" s="1"/>
  <c r="B97" i="2" s="1"/>
  <c r="B99" i="2" s="1"/>
  <c r="B100" i="2" s="1"/>
  <c r="E628" i="13"/>
  <c r="F628" i="13" s="1"/>
  <c r="G43" i="41"/>
  <c r="E1674" i="13"/>
  <c r="F1674" i="13" s="1"/>
  <c r="D1675" i="13" s="1"/>
  <c r="E1062" i="13"/>
  <c r="F1062" i="13" s="1"/>
  <c r="I41" i="35" l="1"/>
  <c r="G541" i="13"/>
  <c r="G802" i="13"/>
  <c r="G1760" i="13"/>
  <c r="E803" i="13"/>
  <c r="F803" i="13" s="1"/>
  <c r="D717" i="13"/>
  <c r="E717" i="13" s="1"/>
  <c r="F717" i="13" s="1"/>
  <c r="G716" i="13"/>
  <c r="D1063" i="13"/>
  <c r="E1063" i="13" s="1"/>
  <c r="F1063" i="13" s="1"/>
  <c r="D1064" i="13" s="1"/>
  <c r="G1062" i="13"/>
  <c r="G1674" i="13"/>
  <c r="E1761" i="13"/>
  <c r="F1761" i="13" s="1"/>
  <c r="G281" i="13"/>
  <c r="E542" i="13"/>
  <c r="F542" i="13" s="1"/>
  <c r="D543" i="13" s="1"/>
  <c r="E543" i="13" s="1"/>
  <c r="F543" i="13" s="1"/>
  <c r="D544" i="13" s="1"/>
  <c r="D1326" i="13"/>
  <c r="G1325" i="13"/>
  <c r="D370" i="13"/>
  <c r="G369" i="13"/>
  <c r="D472" i="20"/>
  <c r="D108" i="13"/>
  <c r="G107" i="13"/>
  <c r="D195" i="13"/>
  <c r="G194" i="13"/>
  <c r="D112" i="20"/>
  <c r="D629" i="13"/>
  <c r="G628" i="13"/>
  <c r="D1190" i="20"/>
  <c r="D1373" i="20"/>
  <c r="D1821" i="20"/>
  <c r="D741" i="20"/>
  <c r="A50" i="34"/>
  <c r="B52" i="34"/>
  <c r="B50" i="34"/>
  <c r="E282" i="13"/>
  <c r="F282" i="13" s="1"/>
  <c r="E1911" i="20"/>
  <c r="F1911" i="20" s="1"/>
  <c r="E1462" i="20"/>
  <c r="F1462" i="20" s="1"/>
  <c r="E292" i="20"/>
  <c r="F292" i="20" s="1"/>
  <c r="G977" i="13"/>
  <c r="E1499" i="13"/>
  <c r="F1499" i="13" s="1"/>
  <c r="D1500" i="13" s="1"/>
  <c r="E978" i="13"/>
  <c r="F978" i="13" s="1"/>
  <c r="E1935" i="13"/>
  <c r="F1935" i="13" s="1"/>
  <c r="G455" i="13"/>
  <c r="D2001" i="20"/>
  <c r="G1412" i="13"/>
  <c r="G1934" i="13"/>
  <c r="E1238" i="13"/>
  <c r="F1238" i="13" s="1"/>
  <c r="E1011" i="20"/>
  <c r="F1011" i="20" s="1"/>
  <c r="E832" i="20"/>
  <c r="F832" i="20" s="1"/>
  <c r="D833" i="20" s="1"/>
  <c r="E381" i="20"/>
  <c r="F381" i="20" s="1"/>
  <c r="E202" i="20"/>
  <c r="F202" i="20" s="1"/>
  <c r="D1641" i="20"/>
  <c r="E1587" i="13"/>
  <c r="F1587" i="13" s="1"/>
  <c r="D651" i="20"/>
  <c r="E1102" i="20"/>
  <c r="F1102" i="20" s="1"/>
  <c r="E1413" i="13"/>
  <c r="F1413" i="13" s="1"/>
  <c r="E1281" i="20"/>
  <c r="F1281" i="20" s="1"/>
  <c r="D1282" i="20" s="1"/>
  <c r="E1152" i="13"/>
  <c r="F1152" i="13" s="1"/>
  <c r="E456" i="13"/>
  <c r="F456" i="13" s="1"/>
  <c r="E1675" i="13"/>
  <c r="F1675" i="13" s="1"/>
  <c r="L40" i="41"/>
  <c r="E41" i="41" s="1"/>
  <c r="I40" i="41"/>
  <c r="J53" i="41"/>
  <c r="J55" i="41" s="1"/>
  <c r="G893" i="13"/>
  <c r="E927" i="20"/>
  <c r="F927" i="20" s="1"/>
  <c r="E561" i="20"/>
  <c r="F561" i="20" s="1"/>
  <c r="G46" i="35"/>
  <c r="L42" i="35"/>
  <c r="E43" i="35" s="1"/>
  <c r="I42" i="35"/>
  <c r="E894" i="13"/>
  <c r="F894" i="13" s="1"/>
  <c r="G1586" i="13"/>
  <c r="E1731" i="20"/>
  <c r="F1731" i="20" s="1"/>
  <c r="B101" i="2"/>
  <c r="B102" i="2" s="1"/>
  <c r="B103" i="2" s="1"/>
  <c r="B104" i="2" s="1"/>
  <c r="B105" i="2" s="1"/>
  <c r="B106" i="2" s="1"/>
  <c r="B107" i="2" s="1"/>
  <c r="B108" i="2" s="1"/>
  <c r="B110" i="2" s="1"/>
  <c r="G44" i="41"/>
  <c r="B49" i="34"/>
  <c r="E1555" i="20"/>
  <c r="F1555" i="20" s="1"/>
  <c r="E1846" i="13"/>
  <c r="F1846" i="13" s="1"/>
  <c r="D1847" i="13" s="1"/>
  <c r="D804" i="13" l="1"/>
  <c r="G803" i="13"/>
  <c r="D112" i="2"/>
  <c r="D1012" i="20"/>
  <c r="E1012" i="20" s="1"/>
  <c r="F1012" i="20" s="1"/>
  <c r="D1013" i="20" s="1"/>
  <c r="D1912" i="20"/>
  <c r="E1912" i="20" s="1"/>
  <c r="F1912" i="20" s="1"/>
  <c r="D1913" i="20" s="1"/>
  <c r="G542" i="13"/>
  <c r="D1762" i="13"/>
  <c r="E1762" i="13" s="1"/>
  <c r="F1762" i="13" s="1"/>
  <c r="D1763" i="13" s="1"/>
  <c r="G1761" i="13"/>
  <c r="G543" i="13"/>
  <c r="D1414" i="13"/>
  <c r="G1413" i="13"/>
  <c r="D457" i="13"/>
  <c r="G456" i="13"/>
  <c r="D1103" i="20"/>
  <c r="D203" i="20"/>
  <c r="D283" i="13"/>
  <c r="G282" i="13"/>
  <c r="D1556" i="20"/>
  <c r="D562" i="20"/>
  <c r="D1153" i="13"/>
  <c r="G1152" i="13"/>
  <c r="D895" i="13"/>
  <c r="G894" i="13"/>
  <c r="D928" i="20"/>
  <c r="D1936" i="13"/>
  <c r="G1935" i="13"/>
  <c r="D1676" i="13"/>
  <c r="G1675" i="13"/>
  <c r="D1732" i="20"/>
  <c r="D1588" i="13"/>
  <c r="G1587" i="13"/>
  <c r="D382" i="20"/>
  <c r="D293" i="20"/>
  <c r="D1239" i="13"/>
  <c r="G1238" i="13"/>
  <c r="D979" i="13"/>
  <c r="G978" i="13"/>
  <c r="D718" i="13"/>
  <c r="G717" i="13"/>
  <c r="D1463" i="20"/>
  <c r="E1500" i="13"/>
  <c r="F1500" i="13" s="1"/>
  <c r="E1282" i="20"/>
  <c r="F1282" i="20" s="1"/>
  <c r="E1641" i="20"/>
  <c r="F1641" i="20" s="1"/>
  <c r="E1064" i="13"/>
  <c r="F1064" i="13" s="1"/>
  <c r="E112" i="20"/>
  <c r="F112" i="20" s="1"/>
  <c r="E1847" i="13"/>
  <c r="F1847" i="13" s="1"/>
  <c r="G45" i="41"/>
  <c r="L43" i="35"/>
  <c r="E44" i="35" s="1"/>
  <c r="I43" i="35"/>
  <c r="E651" i="20"/>
  <c r="F651" i="20" s="1"/>
  <c r="E833" i="20"/>
  <c r="F833" i="20" s="1"/>
  <c r="G1499" i="13"/>
  <c r="A52" i="34"/>
  <c r="B53" i="34"/>
  <c r="E1821" i="20"/>
  <c r="F1821" i="20" s="1"/>
  <c r="E629" i="13"/>
  <c r="F629" i="13" s="1"/>
  <c r="E2001" i="20"/>
  <c r="F2001" i="20" s="1"/>
  <c r="D2002" i="20" s="1"/>
  <c r="E195" i="13"/>
  <c r="F195" i="13" s="1"/>
  <c r="E370" i="13"/>
  <c r="F370" i="13" s="1"/>
  <c r="D371" i="13" s="1"/>
  <c r="E1190" i="20"/>
  <c r="F1190" i="20" s="1"/>
  <c r="D1191" i="20" s="1"/>
  <c r="G1846" i="13"/>
  <c r="E544" i="13"/>
  <c r="F544" i="13" s="1"/>
  <c r="D545" i="13" s="1"/>
  <c r="G47" i="35"/>
  <c r="E741" i="20"/>
  <c r="F741" i="20" s="1"/>
  <c r="D742" i="20" s="1"/>
  <c r="E472" i="20"/>
  <c r="F472" i="20" s="1"/>
  <c r="E108" i="2"/>
  <c r="E1373" i="20"/>
  <c r="F1373" i="20" s="1"/>
  <c r="L41" i="41"/>
  <c r="E42" i="41" s="1"/>
  <c r="I41" i="41"/>
  <c r="D301" i="2"/>
  <c r="B112" i="2"/>
  <c r="G1063" i="13"/>
  <c r="E108" i="13"/>
  <c r="F108" i="13" s="1"/>
  <c r="D109" i="13" s="1"/>
  <c r="E1326" i="13"/>
  <c r="F1326" i="13" s="1"/>
  <c r="D1327" i="13" s="1"/>
  <c r="G1762" i="13" l="1"/>
  <c r="E804" i="13"/>
  <c r="F804" i="13" s="1"/>
  <c r="D805" i="13" s="1"/>
  <c r="E805" i="13" s="1"/>
  <c r="F805" i="13" s="1"/>
  <c r="D806" i="13" s="1"/>
  <c r="D1501" i="13"/>
  <c r="E1501" i="13" s="1"/>
  <c r="F1501" i="13" s="1"/>
  <c r="G1500" i="13"/>
  <c r="D652" i="20"/>
  <c r="E652" i="20" s="1"/>
  <c r="F652" i="20" s="1"/>
  <c r="D1283" i="20"/>
  <c r="E1283" i="20" s="1"/>
  <c r="F1283" i="20" s="1"/>
  <c r="D1848" i="13"/>
  <c r="G1847" i="13"/>
  <c r="D196" i="13"/>
  <c r="G195" i="13"/>
  <c r="D473" i="20"/>
  <c r="D630" i="13"/>
  <c r="G629" i="13"/>
  <c r="D113" i="20"/>
  <c r="D1822" i="20"/>
  <c r="D1374" i="20"/>
  <c r="D834" i="20"/>
  <c r="D1065" i="13"/>
  <c r="G1064" i="13"/>
  <c r="D1642" i="20"/>
  <c r="L42" i="41"/>
  <c r="E43" i="41" s="1"/>
  <c r="I42" i="41"/>
  <c r="G1326" i="13"/>
  <c r="E545" i="13"/>
  <c r="F545" i="13" s="1"/>
  <c r="D546" i="13" s="1"/>
  <c r="E1239" i="13"/>
  <c r="F1239" i="13" s="1"/>
  <c r="D1240" i="13" s="1"/>
  <c r="E1153" i="13"/>
  <c r="F1153" i="13" s="1"/>
  <c r="D1154" i="13" s="1"/>
  <c r="E283" i="13"/>
  <c r="F283" i="13" s="1"/>
  <c r="E1103" i="20"/>
  <c r="F1103" i="20" s="1"/>
  <c r="D1104" i="20" s="1"/>
  <c r="G48" i="35"/>
  <c r="E1013" i="20"/>
  <c r="F1013" i="20" s="1"/>
  <c r="E1763" i="13"/>
  <c r="F1763" i="13" s="1"/>
  <c r="D1764" i="13" s="1"/>
  <c r="E457" i="13"/>
  <c r="F457" i="13" s="1"/>
  <c r="E1936" i="13"/>
  <c r="F1936" i="13" s="1"/>
  <c r="G108" i="13"/>
  <c r="C28" i="20"/>
  <c r="C28" i="13"/>
  <c r="B127" i="2"/>
  <c r="G370" i="13"/>
  <c r="B57" i="34"/>
  <c r="A53" i="34"/>
  <c r="B64" i="34"/>
  <c r="L44" i="35"/>
  <c r="E45" i="35" s="1"/>
  <c r="I44" i="35"/>
  <c r="E718" i="13"/>
  <c r="F718" i="13" s="1"/>
  <c r="E293" i="20"/>
  <c r="F293" i="20" s="1"/>
  <c r="E562" i="20"/>
  <c r="F562" i="20" s="1"/>
  <c r="E109" i="13"/>
  <c r="F109" i="13" s="1"/>
  <c r="E1191" i="20"/>
  <c r="F1191" i="20" s="1"/>
  <c r="E371" i="13"/>
  <c r="F371" i="13" s="1"/>
  <c r="D372" i="13" s="1"/>
  <c r="E2002" i="20"/>
  <c r="F2002" i="20" s="1"/>
  <c r="E928" i="20"/>
  <c r="F928" i="20" s="1"/>
  <c r="E1414" i="13"/>
  <c r="F1414" i="13" s="1"/>
  <c r="D1415" i="13" s="1"/>
  <c r="E742" i="20"/>
  <c r="F742" i="20" s="1"/>
  <c r="D743" i="20" s="1"/>
  <c r="E1588" i="13"/>
  <c r="F1588" i="13" s="1"/>
  <c r="D1589" i="13" s="1"/>
  <c r="E1913" i="20"/>
  <c r="F1913" i="20" s="1"/>
  <c r="D1914" i="20" s="1"/>
  <c r="G46" i="41"/>
  <c r="E1732" i="20"/>
  <c r="F1732" i="20" s="1"/>
  <c r="E203" i="20"/>
  <c r="F203" i="20" s="1"/>
  <c r="E1327" i="13"/>
  <c r="F1327" i="13" s="1"/>
  <c r="G544" i="13"/>
  <c r="E979" i="13"/>
  <c r="F979" i="13" s="1"/>
  <c r="E895" i="13"/>
  <c r="F895" i="13" s="1"/>
  <c r="E1556" i="20"/>
  <c r="F1556" i="20" s="1"/>
  <c r="D1557" i="20" s="1"/>
  <c r="E1463" i="20"/>
  <c r="F1463" i="20" s="1"/>
  <c r="D1464" i="20" s="1"/>
  <c r="E382" i="20"/>
  <c r="F382" i="20" s="1"/>
  <c r="E1676" i="13"/>
  <c r="F1676" i="13" s="1"/>
  <c r="G805" i="13" l="1"/>
  <c r="D719" i="13"/>
  <c r="E719" i="13" s="1"/>
  <c r="F719" i="13" s="1"/>
  <c r="G718" i="13"/>
  <c r="G804" i="13"/>
  <c r="D204" i="20"/>
  <c r="E204" i="20" s="1"/>
  <c r="F204" i="20" s="1"/>
  <c r="D205" i="20" s="1"/>
  <c r="D1284" i="20"/>
  <c r="E1284" i="20" s="1"/>
  <c r="F1284" i="20" s="1"/>
  <c r="D294" i="20"/>
  <c r="E294" i="20" s="1"/>
  <c r="F294" i="20" s="1"/>
  <c r="D295" i="20" s="1"/>
  <c r="D110" i="13"/>
  <c r="E110" i="13" s="1"/>
  <c r="F110" i="13" s="1"/>
  <c r="G109" i="13"/>
  <c r="G371" i="13"/>
  <c r="D1677" i="13"/>
  <c r="G1676" i="13"/>
  <c r="D1328" i="13"/>
  <c r="G1327" i="13"/>
  <c r="D383" i="20"/>
  <c r="D980" i="13"/>
  <c r="G979" i="13"/>
  <c r="D458" i="13"/>
  <c r="G457" i="13"/>
  <c r="D1502" i="13"/>
  <c r="G1501" i="13"/>
  <c r="D929" i="20"/>
  <c r="D563" i="20"/>
  <c r="D653" i="20"/>
  <c r="D284" i="13"/>
  <c r="G283" i="13"/>
  <c r="D1733" i="20"/>
  <c r="D2003" i="20"/>
  <c r="D896" i="13"/>
  <c r="G895" i="13"/>
  <c r="D1192" i="20"/>
  <c r="D1937" i="13"/>
  <c r="G1936" i="13"/>
  <c r="D1014" i="20"/>
  <c r="E1589" i="13"/>
  <c r="F1589" i="13" s="1"/>
  <c r="E372" i="13"/>
  <c r="F372" i="13" s="1"/>
  <c r="B128" i="2"/>
  <c r="B129" i="2" s="1"/>
  <c r="G1588" i="13"/>
  <c r="G1763" i="13"/>
  <c r="E834" i="20"/>
  <c r="F834" i="20" s="1"/>
  <c r="D835" i="20" s="1"/>
  <c r="E1642" i="20"/>
  <c r="F1642" i="20" s="1"/>
  <c r="D1643" i="20" s="1"/>
  <c r="E1374" i="20"/>
  <c r="F1374" i="20" s="1"/>
  <c r="E630" i="13"/>
  <c r="F630" i="13" s="1"/>
  <c r="D631" i="13" s="1"/>
  <c r="E806" i="13"/>
  <c r="F806" i="13" s="1"/>
  <c r="D807" i="13" s="1"/>
  <c r="E1914" i="20"/>
  <c r="F1914" i="20" s="1"/>
  <c r="D1915" i="20" s="1"/>
  <c r="G49" i="35"/>
  <c r="G47" i="41"/>
  <c r="E743" i="20"/>
  <c r="F743" i="20" s="1"/>
  <c r="G545" i="13"/>
  <c r="E1764" i="13"/>
  <c r="F1764" i="13" s="1"/>
  <c r="E1104" i="20"/>
  <c r="F1104" i="20" s="1"/>
  <c r="D1105" i="20" s="1"/>
  <c r="E113" i="20"/>
  <c r="F113" i="20" s="1"/>
  <c r="D114" i="20" s="1"/>
  <c r="E1557" i="20"/>
  <c r="F1557" i="20" s="1"/>
  <c r="E1065" i="13"/>
  <c r="F1065" i="13" s="1"/>
  <c r="D1066" i="13" s="1"/>
  <c r="E196" i="13"/>
  <c r="F196" i="13" s="1"/>
  <c r="D197" i="13" s="1"/>
  <c r="G1414" i="13"/>
  <c r="L45" i="35"/>
  <c r="E46" i="35" s="1"/>
  <c r="I45" i="35"/>
  <c r="G1153" i="13"/>
  <c r="E1240" i="13"/>
  <c r="F1240" i="13" s="1"/>
  <c r="D1241" i="13" s="1"/>
  <c r="E546" i="13"/>
  <c r="F546" i="13" s="1"/>
  <c r="D547" i="13" s="1"/>
  <c r="E1822" i="20"/>
  <c r="F1822" i="20" s="1"/>
  <c r="E1464" i="20"/>
  <c r="F1464" i="20" s="1"/>
  <c r="D1465" i="20" s="1"/>
  <c r="B80" i="34"/>
  <c r="B203" i="34"/>
  <c r="A56" i="34"/>
  <c r="E1415" i="13"/>
  <c r="F1415" i="13" s="1"/>
  <c r="D1416" i="13" s="1"/>
  <c r="E1154" i="13"/>
  <c r="F1154" i="13" s="1"/>
  <c r="D1155" i="13" s="1"/>
  <c r="G1239" i="13"/>
  <c r="L43" i="41"/>
  <c r="E44" i="41" s="1"/>
  <c r="I43" i="41"/>
  <c r="E473" i="20"/>
  <c r="F473" i="20" s="1"/>
  <c r="E1848" i="13"/>
  <c r="F1848" i="13" s="1"/>
  <c r="D744" i="20" l="1"/>
  <c r="E744" i="20" s="1"/>
  <c r="F744" i="20" s="1"/>
  <c r="D474" i="20"/>
  <c r="E474" i="20" s="1"/>
  <c r="F474" i="20" s="1"/>
  <c r="G806" i="13"/>
  <c r="G546" i="13"/>
  <c r="G1154" i="13"/>
  <c r="D1849" i="13"/>
  <c r="G1848" i="13"/>
  <c r="D1590" i="13"/>
  <c r="G1589" i="13"/>
  <c r="D1285" i="20"/>
  <c r="D1765" i="13"/>
  <c r="G1764" i="13"/>
  <c r="D373" i="13"/>
  <c r="G372" i="13"/>
  <c r="D1558" i="20"/>
  <c r="D720" i="13"/>
  <c r="G719" i="13"/>
  <c r="D1375" i="20"/>
  <c r="D1823" i="20"/>
  <c r="D111" i="13"/>
  <c r="G110" i="13"/>
  <c r="E1155" i="13"/>
  <c r="F1155" i="13" s="1"/>
  <c r="D1156" i="13" s="1"/>
  <c r="L46" i="35"/>
  <c r="E47" i="35" s="1"/>
  <c r="I46" i="35"/>
  <c r="E197" i="13"/>
  <c r="F197" i="13" s="1"/>
  <c r="D198" i="13" s="1"/>
  <c r="E1733" i="20"/>
  <c r="F1733" i="20" s="1"/>
  <c r="D1734" i="20" s="1"/>
  <c r="E563" i="20"/>
  <c r="F563" i="20" s="1"/>
  <c r="E929" i="20"/>
  <c r="F929" i="20" s="1"/>
  <c r="E114" i="20"/>
  <c r="F114" i="20" s="1"/>
  <c r="G48" i="41"/>
  <c r="B130" i="2"/>
  <c r="B131" i="2" s="1"/>
  <c r="E1014" i="20"/>
  <c r="F1014" i="20" s="1"/>
  <c r="L44" i="41"/>
  <c r="E45" i="41" s="1"/>
  <c r="I44" i="41"/>
  <c r="G50" i="35"/>
  <c r="E807" i="13"/>
  <c r="F807" i="13" s="1"/>
  <c r="E205" i="20"/>
  <c r="F205" i="20" s="1"/>
  <c r="E130" i="2"/>
  <c r="E896" i="13"/>
  <c r="F896" i="13" s="1"/>
  <c r="E284" i="13"/>
  <c r="F284" i="13" s="1"/>
  <c r="D285" i="13" s="1"/>
  <c r="E1502" i="13"/>
  <c r="F1502" i="13" s="1"/>
  <c r="E383" i="20"/>
  <c r="F383" i="20" s="1"/>
  <c r="E835" i="20"/>
  <c r="F835" i="20" s="1"/>
  <c r="D836" i="20" s="1"/>
  <c r="G1415" i="13"/>
  <c r="G1240" i="13"/>
  <c r="G630" i="13"/>
  <c r="E1416" i="13"/>
  <c r="F1416" i="13" s="1"/>
  <c r="D1417" i="13" s="1"/>
  <c r="E1241" i="13"/>
  <c r="F1241" i="13" s="1"/>
  <c r="D1242" i="13" s="1"/>
  <c r="E1066" i="13"/>
  <c r="F1066" i="13" s="1"/>
  <c r="E1643" i="20"/>
  <c r="F1643" i="20" s="1"/>
  <c r="D1644" i="20" s="1"/>
  <c r="E1937" i="13"/>
  <c r="F1937" i="13" s="1"/>
  <c r="D1938" i="13" s="1"/>
  <c r="E458" i="13"/>
  <c r="F458" i="13" s="1"/>
  <c r="E1465" i="20"/>
  <c r="F1465" i="20" s="1"/>
  <c r="E295" i="20"/>
  <c r="F295" i="20" s="1"/>
  <c r="E631" i="13"/>
  <c r="F631" i="13" s="1"/>
  <c r="D632" i="13" s="1"/>
  <c r="G196" i="13"/>
  <c r="G1065" i="13"/>
  <c r="E2003" i="20"/>
  <c r="F2003" i="20" s="1"/>
  <c r="E653" i="20"/>
  <c r="F653" i="20" s="1"/>
  <c r="E1328" i="13"/>
  <c r="F1328" i="13" s="1"/>
  <c r="E1105" i="20"/>
  <c r="F1105" i="20" s="1"/>
  <c r="D1106" i="20" s="1"/>
  <c r="E1915" i="20"/>
  <c r="F1915" i="20" s="1"/>
  <c r="A57" i="34"/>
  <c r="A58" i="34" s="1"/>
  <c r="E547" i="13"/>
  <c r="F547" i="13" s="1"/>
  <c r="E1192" i="20"/>
  <c r="F1192" i="20" s="1"/>
  <c r="E980" i="13"/>
  <c r="F980" i="13" s="1"/>
  <c r="E1677" i="13"/>
  <c r="F1677" i="13" s="1"/>
  <c r="D384" i="20" l="1"/>
  <c r="E384" i="20" s="1"/>
  <c r="F384" i="20" s="1"/>
  <c r="D296" i="20"/>
  <c r="E296" i="20" s="1"/>
  <c r="F296" i="20" s="1"/>
  <c r="D1329" i="13"/>
  <c r="E1329" i="13" s="1"/>
  <c r="F1329" i="13" s="1"/>
  <c r="G1328" i="13"/>
  <c r="D475" i="20"/>
  <c r="E475" i="20" s="1"/>
  <c r="F475" i="20" s="1"/>
  <c r="D745" i="20"/>
  <c r="E745" i="20" s="1"/>
  <c r="F745" i="20" s="1"/>
  <c r="D654" i="20"/>
  <c r="E654" i="20" s="1"/>
  <c r="F654" i="20" s="1"/>
  <c r="G1937" i="13"/>
  <c r="G1155" i="13"/>
  <c r="D1466" i="20"/>
  <c r="D206" i="20"/>
  <c r="D1503" i="13"/>
  <c r="G1502" i="13"/>
  <c r="D808" i="13"/>
  <c r="G807" i="13"/>
  <c r="D115" i="20"/>
  <c r="D2004" i="20"/>
  <c r="D1015" i="20"/>
  <c r="D459" i="13"/>
  <c r="G458" i="13"/>
  <c r="D1067" i="13"/>
  <c r="G1066" i="13"/>
  <c r="D897" i="13"/>
  <c r="G896" i="13"/>
  <c r="D981" i="13"/>
  <c r="G980" i="13"/>
  <c r="D1193" i="20"/>
  <c r="D548" i="13"/>
  <c r="G547" i="13"/>
  <c r="D930" i="20"/>
  <c r="D1678" i="13"/>
  <c r="G1677" i="13"/>
  <c r="D1916" i="20"/>
  <c r="D564" i="20"/>
  <c r="E836" i="20"/>
  <c r="F836" i="20" s="1"/>
  <c r="E198" i="13"/>
  <c r="F198" i="13" s="1"/>
  <c r="D199" i="13" s="1"/>
  <c r="E1106" i="20"/>
  <c r="F1106" i="20" s="1"/>
  <c r="G631" i="13"/>
  <c r="G49" i="41"/>
  <c r="A59" i="34"/>
  <c r="E1242" i="13"/>
  <c r="F1242" i="13" s="1"/>
  <c r="D1243" i="13" s="1"/>
  <c r="E1375" i="20"/>
  <c r="F1375" i="20" s="1"/>
  <c r="E1558" i="20"/>
  <c r="F1558" i="20" s="1"/>
  <c r="D1559" i="20" s="1"/>
  <c r="L45" i="41"/>
  <c r="E46" i="41" s="1"/>
  <c r="I45" i="41"/>
  <c r="E1734" i="20"/>
  <c r="F1734" i="20" s="1"/>
  <c r="E1285" i="20"/>
  <c r="F1285" i="20" s="1"/>
  <c r="D1286" i="20" s="1"/>
  <c r="G1241" i="13"/>
  <c r="G284" i="13"/>
  <c r="G197" i="13"/>
  <c r="E111" i="13"/>
  <c r="F111" i="13" s="1"/>
  <c r="E373" i="13"/>
  <c r="F373" i="13" s="1"/>
  <c r="D374" i="13" s="1"/>
  <c r="E1590" i="13"/>
  <c r="F1590" i="13" s="1"/>
  <c r="D1591" i="13" s="1"/>
  <c r="D296" i="2"/>
  <c r="E41" i="2"/>
  <c r="B132" i="2"/>
  <c r="B133" i="2" s="1"/>
  <c r="L47" i="35"/>
  <c r="E48" i="35" s="1"/>
  <c r="I47" i="35"/>
  <c r="E632" i="13"/>
  <c r="F632" i="13" s="1"/>
  <c r="D633" i="13" s="1"/>
  <c r="E1938" i="13"/>
  <c r="F1938" i="13" s="1"/>
  <c r="E1644" i="20"/>
  <c r="F1644" i="20" s="1"/>
  <c r="D1645" i="20" s="1"/>
  <c r="G1416" i="13"/>
  <c r="E1823" i="20"/>
  <c r="F1823" i="20" s="1"/>
  <c r="D1824" i="20" s="1"/>
  <c r="E720" i="13"/>
  <c r="F720" i="13" s="1"/>
  <c r="E1765" i="13"/>
  <c r="F1765" i="13" s="1"/>
  <c r="D1766" i="13" s="1"/>
  <c r="E285" i="13"/>
  <c r="F285" i="13" s="1"/>
  <c r="D286" i="13" s="1"/>
  <c r="E1417" i="13"/>
  <c r="F1417" i="13" s="1"/>
  <c r="D1418" i="13" s="1"/>
  <c r="E1156" i="13"/>
  <c r="F1156" i="13" s="1"/>
  <c r="E1849" i="13"/>
  <c r="F1849" i="13" s="1"/>
  <c r="D837" i="20" l="1"/>
  <c r="E837" i="20" s="1"/>
  <c r="F837" i="20" s="1"/>
  <c r="D1376" i="20"/>
  <c r="E1376" i="20" s="1"/>
  <c r="F1376" i="20" s="1"/>
  <c r="D746" i="20"/>
  <c r="E746" i="20" s="1"/>
  <c r="F746" i="20" s="1"/>
  <c r="G1590" i="13"/>
  <c r="D385" i="20"/>
  <c r="D1850" i="13"/>
  <c r="G1849" i="13"/>
  <c r="D112" i="13"/>
  <c r="G111" i="13"/>
  <c r="D476" i="20"/>
  <c r="D1157" i="13"/>
  <c r="G1156" i="13"/>
  <c r="D721" i="13"/>
  <c r="G720" i="13"/>
  <c r="D1330" i="13"/>
  <c r="G1329" i="13"/>
  <c r="D297" i="20"/>
  <c r="D1107" i="20"/>
  <c r="D1939" i="13"/>
  <c r="G1938" i="13"/>
  <c r="D655" i="20"/>
  <c r="D1735" i="20"/>
  <c r="E1559" i="20"/>
  <c r="F1559" i="20" s="1"/>
  <c r="A60" i="34"/>
  <c r="E1193" i="20"/>
  <c r="F1193" i="20" s="1"/>
  <c r="E1015" i="20"/>
  <c r="F1015" i="20" s="1"/>
  <c r="E808" i="13"/>
  <c r="F808" i="13" s="1"/>
  <c r="E1466" i="20"/>
  <c r="F1466" i="20" s="1"/>
  <c r="G198" i="13"/>
  <c r="E459" i="13"/>
  <c r="F459" i="13" s="1"/>
  <c r="E1824" i="20"/>
  <c r="F1824" i="20" s="1"/>
  <c r="E564" i="20"/>
  <c r="F564" i="20" s="1"/>
  <c r="D565" i="20" s="1"/>
  <c r="E981" i="13"/>
  <c r="F981" i="13" s="1"/>
  <c r="D982" i="13" s="1"/>
  <c r="E1503" i="13"/>
  <c r="F1503" i="13" s="1"/>
  <c r="D1504" i="13" s="1"/>
  <c r="G1765" i="13"/>
  <c r="E1591" i="13"/>
  <c r="F1591" i="13" s="1"/>
  <c r="D1592" i="13" s="1"/>
  <c r="E134" i="2"/>
  <c r="G1417" i="13"/>
  <c r="E374" i="13"/>
  <c r="F374" i="13" s="1"/>
  <c r="D375" i="13" s="1"/>
  <c r="E1286" i="20"/>
  <c r="F1286" i="20" s="1"/>
  <c r="G50" i="41"/>
  <c r="E633" i="13"/>
  <c r="F633" i="13" s="1"/>
  <c r="D634" i="13" s="1"/>
  <c r="E930" i="20"/>
  <c r="F930" i="20" s="1"/>
  <c r="D298" i="2"/>
  <c r="B134" i="2"/>
  <c r="L46" i="41"/>
  <c r="E47" i="41" s="1"/>
  <c r="I46" i="41"/>
  <c r="E2004" i="20"/>
  <c r="F2004" i="20" s="1"/>
  <c r="D2005" i="20" s="1"/>
  <c r="G373" i="13"/>
  <c r="G1242" i="13"/>
  <c r="E1916" i="20"/>
  <c r="F1916" i="20" s="1"/>
  <c r="D1917" i="20" s="1"/>
  <c r="E548" i="13"/>
  <c r="F548" i="13" s="1"/>
  <c r="D549" i="13" s="1"/>
  <c r="E897" i="13"/>
  <c r="F897" i="13" s="1"/>
  <c r="D898" i="13" s="1"/>
  <c r="E206" i="20"/>
  <c r="F206" i="20" s="1"/>
  <c r="D207" i="20" s="1"/>
  <c r="E1766" i="13"/>
  <c r="F1766" i="13" s="1"/>
  <c r="D1767" i="13" s="1"/>
  <c r="E1645" i="20"/>
  <c r="F1645" i="20" s="1"/>
  <c r="D1646" i="20" s="1"/>
  <c r="E199" i="13"/>
  <c r="F199" i="13" s="1"/>
  <c r="E1418" i="13"/>
  <c r="F1418" i="13" s="1"/>
  <c r="D1419" i="13" s="1"/>
  <c r="G285" i="13"/>
  <c r="G632" i="13"/>
  <c r="L48" i="35"/>
  <c r="E49" i="35" s="1"/>
  <c r="I48" i="35"/>
  <c r="E115" i="20"/>
  <c r="F115" i="20" s="1"/>
  <c r="E1678" i="13"/>
  <c r="F1678" i="13" s="1"/>
  <c r="E1067" i="13"/>
  <c r="F1067" i="13" s="1"/>
  <c r="E286" i="13"/>
  <c r="F286" i="13" s="1"/>
  <c r="D287" i="13" s="1"/>
  <c r="E1243" i="13"/>
  <c r="F1243" i="13" s="1"/>
  <c r="D1244" i="13" s="1"/>
  <c r="D116" i="20" l="1"/>
  <c r="E116" i="20" s="1"/>
  <c r="F116" i="20" s="1"/>
  <c r="G1766" i="13"/>
  <c r="D931" i="20"/>
  <c r="E931" i="20" s="1"/>
  <c r="D1016" i="20"/>
  <c r="E1016" i="20" s="1"/>
  <c r="F1016" i="20" s="1"/>
  <c r="D1377" i="20"/>
  <c r="E1377" i="20" s="1"/>
  <c r="F1377" i="20" s="1"/>
  <c r="D1378" i="20" s="1"/>
  <c r="G633" i="13"/>
  <c r="G286" i="13"/>
  <c r="G1591" i="13"/>
  <c r="D1679" i="13"/>
  <c r="G1678" i="13"/>
  <c r="D1194" i="20"/>
  <c r="D200" i="13"/>
  <c r="G199" i="13"/>
  <c r="D809" i="13"/>
  <c r="G808" i="13"/>
  <c r="D838" i="20"/>
  <c r="D1467" i="20"/>
  <c r="D1287" i="20"/>
  <c r="D460" i="13"/>
  <c r="G459" i="13"/>
  <c r="D1560" i="20"/>
  <c r="D1825" i="20"/>
  <c r="D747" i="20"/>
  <c r="D1068" i="13"/>
  <c r="G1067" i="13"/>
  <c r="E1646" i="20"/>
  <c r="F1646" i="20" s="1"/>
  <c r="E476" i="20"/>
  <c r="F476" i="20" s="1"/>
  <c r="G897" i="13"/>
  <c r="E1592" i="13"/>
  <c r="F1592" i="13" s="1"/>
  <c r="E1419" i="13"/>
  <c r="F1419" i="13" s="1"/>
  <c r="E549" i="13"/>
  <c r="F549" i="13" s="1"/>
  <c r="E112" i="13"/>
  <c r="F112" i="13" s="1"/>
  <c r="D113" i="13" s="1"/>
  <c r="E1917" i="20"/>
  <c r="F1917" i="20" s="1"/>
  <c r="D1918" i="20" s="1"/>
  <c r="E385" i="20"/>
  <c r="F385" i="20" s="1"/>
  <c r="E982" i="13"/>
  <c r="F982" i="13" s="1"/>
  <c r="E1107" i="20"/>
  <c r="F1107" i="20" s="1"/>
  <c r="D1108" i="20" s="1"/>
  <c r="G374" i="13"/>
  <c r="G981" i="13"/>
  <c r="E655" i="20"/>
  <c r="F655" i="20" s="1"/>
  <c r="E721" i="13"/>
  <c r="F721" i="13" s="1"/>
  <c r="E1244" i="13"/>
  <c r="F1244" i="13" s="1"/>
  <c r="D1245" i="13" s="1"/>
  <c r="E898" i="13"/>
  <c r="F898" i="13" s="1"/>
  <c r="D899" i="13" s="1"/>
  <c r="E2005" i="20"/>
  <c r="F2005" i="20" s="1"/>
  <c r="D2006" i="20" s="1"/>
  <c r="E565" i="20"/>
  <c r="F565" i="20" s="1"/>
  <c r="E1767" i="13"/>
  <c r="F1767" i="13" s="1"/>
  <c r="B65" i="34"/>
  <c r="A63" i="34"/>
  <c r="E287" i="13"/>
  <c r="F287" i="13" s="1"/>
  <c r="D288" i="13" s="1"/>
  <c r="G1418" i="13"/>
  <c r="G548" i="13"/>
  <c r="E1850" i="13"/>
  <c r="F1850" i="13" s="1"/>
  <c r="D1851" i="13" s="1"/>
  <c r="E1504" i="13"/>
  <c r="F1504" i="13" s="1"/>
  <c r="E1330" i="13"/>
  <c r="F1330" i="13" s="1"/>
  <c r="D1331" i="13" s="1"/>
  <c r="E634" i="13"/>
  <c r="F634" i="13" s="1"/>
  <c r="G1503" i="13"/>
  <c r="E1735" i="20"/>
  <c r="F1735" i="20" s="1"/>
  <c r="L49" i="35"/>
  <c r="E50" i="35" s="1"/>
  <c r="I49" i="35"/>
  <c r="E207" i="20"/>
  <c r="F207" i="20" s="1"/>
  <c r="L47" i="41"/>
  <c r="E48" i="41" s="1"/>
  <c r="I47" i="41"/>
  <c r="E375" i="13"/>
  <c r="F375" i="13" s="1"/>
  <c r="E1939" i="13"/>
  <c r="F1939" i="13" s="1"/>
  <c r="E297" i="20"/>
  <c r="F297" i="20" s="1"/>
  <c r="D298" i="20" s="1"/>
  <c r="E1157" i="13"/>
  <c r="F1157" i="13" s="1"/>
  <c r="G1243" i="13"/>
  <c r="B136" i="2"/>
  <c r="E100" i="2"/>
  <c r="D295" i="2"/>
  <c r="F931" i="20" l="1"/>
  <c r="D932" i="20" s="1"/>
  <c r="E932" i="20" s="1"/>
  <c r="F932" i="20" s="1"/>
  <c r="D1736" i="20"/>
  <c r="E1736" i="20" s="1"/>
  <c r="F1736" i="20" s="1"/>
  <c r="D1737" i="20" s="1"/>
  <c r="D386" i="20"/>
  <c r="E386" i="20" s="1"/>
  <c r="F386" i="20" s="1"/>
  <c r="D1420" i="13"/>
  <c r="E1420" i="13" s="1"/>
  <c r="F1420" i="13" s="1"/>
  <c r="G1419" i="13"/>
  <c r="D722" i="13"/>
  <c r="E722" i="13" s="1"/>
  <c r="F722" i="13" s="1"/>
  <c r="D723" i="13" s="1"/>
  <c r="G721" i="13"/>
  <c r="D566" i="20"/>
  <c r="E566" i="20" s="1"/>
  <c r="D550" i="13"/>
  <c r="E550" i="13" s="1"/>
  <c r="F550" i="13" s="1"/>
  <c r="G549" i="13"/>
  <c r="D1017" i="20"/>
  <c r="E1017" i="20" s="1"/>
  <c r="F1017" i="20" s="1"/>
  <c r="G1850" i="13"/>
  <c r="D1940" i="13"/>
  <c r="G1939" i="13"/>
  <c r="D1505" i="13"/>
  <c r="G1504" i="13"/>
  <c r="D477" i="20"/>
  <c r="D117" i="20"/>
  <c r="D208" i="20"/>
  <c r="D635" i="13"/>
  <c r="G634" i="13"/>
  <c r="D376" i="13"/>
  <c r="G375" i="13"/>
  <c r="D656" i="20"/>
  <c r="D1593" i="13"/>
  <c r="G1592" i="13"/>
  <c r="D1647" i="20"/>
  <c r="D1158" i="13"/>
  <c r="G1157" i="13"/>
  <c r="D1768" i="13"/>
  <c r="G1767" i="13"/>
  <c r="D983" i="13"/>
  <c r="G982" i="13"/>
  <c r="E288" i="13"/>
  <c r="F288" i="13" s="1"/>
  <c r="D289" i="13" s="1"/>
  <c r="E1825" i="20"/>
  <c r="F1825" i="20" s="1"/>
  <c r="D1826" i="20" s="1"/>
  <c r="E1679" i="13"/>
  <c r="F1679" i="13" s="1"/>
  <c r="L48" i="41"/>
  <c r="E49" i="41" s="1"/>
  <c r="I48" i="41"/>
  <c r="E1851" i="13"/>
  <c r="F1851" i="13" s="1"/>
  <c r="E298" i="20"/>
  <c r="F298" i="20" s="1"/>
  <c r="G1330" i="13"/>
  <c r="A64" i="34"/>
  <c r="E1245" i="13"/>
  <c r="F1245" i="13" s="1"/>
  <c r="D1246" i="13" s="1"/>
  <c r="E113" i="13"/>
  <c r="F113" i="13" s="1"/>
  <c r="E1560" i="20"/>
  <c r="F1560" i="20" s="1"/>
  <c r="D1561" i="20" s="1"/>
  <c r="E1287" i="20"/>
  <c r="F1287" i="20" s="1"/>
  <c r="E1331" i="13"/>
  <c r="F1331" i="13" s="1"/>
  <c r="B137" i="2"/>
  <c r="E2006" i="20"/>
  <c r="F2006" i="20" s="1"/>
  <c r="G1244" i="13"/>
  <c r="E1108" i="20"/>
  <c r="F1108" i="20" s="1"/>
  <c r="D1109" i="20" s="1"/>
  <c r="G112" i="13"/>
  <c r="E1467" i="20"/>
  <c r="F1467" i="20" s="1"/>
  <c r="E200" i="13"/>
  <c r="F200" i="13" s="1"/>
  <c r="E809" i="13"/>
  <c r="F809" i="13" s="1"/>
  <c r="D810" i="13" s="1"/>
  <c r="L50" i="35"/>
  <c r="I50" i="35"/>
  <c r="I51" i="35" s="1"/>
  <c r="E747" i="20"/>
  <c r="F747" i="20" s="1"/>
  <c r="E460" i="13"/>
  <c r="F460" i="13" s="1"/>
  <c r="E1918" i="20"/>
  <c r="F1918" i="20" s="1"/>
  <c r="D1919" i="20" s="1"/>
  <c r="E1068" i="13"/>
  <c r="F1068" i="13" s="1"/>
  <c r="D1069" i="13" s="1"/>
  <c r="G287" i="13"/>
  <c r="E1378" i="20"/>
  <c r="F1378" i="20" s="1"/>
  <c r="E838" i="20"/>
  <c r="F838" i="20" s="1"/>
  <c r="D839" i="20" s="1"/>
  <c r="G898" i="13"/>
  <c r="E1194" i="20"/>
  <c r="F1194" i="20" s="1"/>
  <c r="E899" i="13"/>
  <c r="F899" i="13" s="1"/>
  <c r="F566" i="20" l="1"/>
  <c r="D567" i="20" s="1"/>
  <c r="E567" i="20" s="1"/>
  <c r="F567" i="20" s="1"/>
  <c r="D1852" i="13"/>
  <c r="E1852" i="13" s="1"/>
  <c r="F1852" i="13" s="1"/>
  <c r="G1851" i="13"/>
  <c r="D748" i="20"/>
  <c r="D1421" i="13"/>
  <c r="G1420" i="13"/>
  <c r="D1680" i="13"/>
  <c r="G1679" i="13"/>
  <c r="D1288" i="20"/>
  <c r="D387" i="20"/>
  <c r="D933" i="20"/>
  <c r="D551" i="13"/>
  <c r="G550" i="13"/>
  <c r="D1195" i="20"/>
  <c r="D1018" i="20"/>
  <c r="D114" i="13"/>
  <c r="G113" i="13"/>
  <c r="D299" i="20"/>
  <c r="D900" i="13"/>
  <c r="G899" i="13"/>
  <c r="D1379" i="20"/>
  <c r="D201" i="13"/>
  <c r="G200" i="13"/>
  <c r="D1332" i="13"/>
  <c r="G1331" i="13"/>
  <c r="D461" i="13"/>
  <c r="G460" i="13"/>
  <c r="D1468" i="20"/>
  <c r="D2007" i="20"/>
  <c r="E1826" i="20"/>
  <c r="F1826" i="20" s="1"/>
  <c r="E117" i="20"/>
  <c r="F117" i="20" s="1"/>
  <c r="E983" i="13"/>
  <c r="F983" i="13" s="1"/>
  <c r="D984" i="13" s="1"/>
  <c r="E1593" i="13"/>
  <c r="F1593" i="13" s="1"/>
  <c r="E635" i="13"/>
  <c r="F635" i="13" s="1"/>
  <c r="E839" i="20"/>
  <c r="F839" i="20" s="1"/>
  <c r="E810" i="13"/>
  <c r="F810" i="13" s="1"/>
  <c r="E1647" i="20"/>
  <c r="F1647" i="20" s="1"/>
  <c r="G809" i="13"/>
  <c r="E1109" i="20"/>
  <c r="F1109" i="20" s="1"/>
  <c r="B138" i="2"/>
  <c r="B139" i="2" s="1"/>
  <c r="B140" i="2" s="1"/>
  <c r="B141" i="2" s="1"/>
  <c r="E142" i="2"/>
  <c r="E1246" i="13"/>
  <c r="F1246" i="13" s="1"/>
  <c r="E1768" i="13"/>
  <c r="F1768" i="13" s="1"/>
  <c r="D1769" i="13" s="1"/>
  <c r="E1561" i="20"/>
  <c r="F1561" i="20" s="1"/>
  <c r="G1245" i="13"/>
  <c r="G288" i="13"/>
  <c r="E477" i="20"/>
  <c r="F477" i="20" s="1"/>
  <c r="E1069" i="13"/>
  <c r="F1069" i="13" s="1"/>
  <c r="D1070" i="13" s="1"/>
  <c r="E1940" i="13"/>
  <c r="F1940" i="13" s="1"/>
  <c r="D1941" i="13" s="1"/>
  <c r="G722" i="13"/>
  <c r="L49" i="41"/>
  <c r="E50" i="41" s="1"/>
  <c r="I49" i="41"/>
  <c r="E1158" i="13"/>
  <c r="F1158" i="13" s="1"/>
  <c r="D1159" i="13" s="1"/>
  <c r="E656" i="20"/>
  <c r="F656" i="20" s="1"/>
  <c r="D657" i="20" s="1"/>
  <c r="E208" i="20"/>
  <c r="F208" i="20" s="1"/>
  <c r="D209" i="20" s="1"/>
  <c r="E1737" i="20"/>
  <c r="F1737" i="20" s="1"/>
  <c r="E1919" i="20"/>
  <c r="F1919" i="20" s="1"/>
  <c r="D1920" i="20" s="1"/>
  <c r="E723" i="13"/>
  <c r="F723" i="13" s="1"/>
  <c r="D724" i="13" s="1"/>
  <c r="E289" i="13"/>
  <c r="F289" i="13" s="1"/>
  <c r="E1505" i="13"/>
  <c r="F1505" i="13" s="1"/>
  <c r="G1068" i="13"/>
  <c r="A65" i="34"/>
  <c r="E376" i="13"/>
  <c r="F376" i="13" s="1"/>
  <c r="D1738" i="20" l="1"/>
  <c r="E1738" i="20" s="1"/>
  <c r="F1738" i="20" s="1"/>
  <c r="D1739" i="20" s="1"/>
  <c r="D568" i="20"/>
  <c r="E568" i="20" s="1"/>
  <c r="F568" i="20" s="1"/>
  <c r="D1562" i="20"/>
  <c r="D811" i="13"/>
  <c r="G810" i="13"/>
  <c r="D118" i="20"/>
  <c r="D1506" i="13"/>
  <c r="G1505" i="13"/>
  <c r="D478" i="20"/>
  <c r="D1827" i="20"/>
  <c r="D290" i="13"/>
  <c r="G289" i="13"/>
  <c r="D1247" i="13"/>
  <c r="G1246" i="13"/>
  <c r="D636" i="13"/>
  <c r="G635" i="13"/>
  <c r="D1594" i="13"/>
  <c r="G1593" i="13"/>
  <c r="D1110" i="20"/>
  <c r="D840" i="20"/>
  <c r="D377" i="13"/>
  <c r="G376" i="13"/>
  <c r="D1648" i="20"/>
  <c r="D1853" i="13"/>
  <c r="G1852" i="13"/>
  <c r="E1769" i="13"/>
  <c r="F1769" i="13" s="1"/>
  <c r="E984" i="13"/>
  <c r="F984" i="13" s="1"/>
  <c r="E461" i="13"/>
  <c r="F461" i="13" s="1"/>
  <c r="E657" i="20"/>
  <c r="F657" i="20" s="1"/>
  <c r="E900" i="13"/>
  <c r="F900" i="13" s="1"/>
  <c r="D901" i="13" s="1"/>
  <c r="E1680" i="13"/>
  <c r="F1680" i="13" s="1"/>
  <c r="D1681" i="13" s="1"/>
  <c r="G1158" i="13"/>
  <c r="E1332" i="13"/>
  <c r="F1332" i="13" s="1"/>
  <c r="D1333" i="13" s="1"/>
  <c r="A66" i="34"/>
  <c r="E933" i="20"/>
  <c r="F933" i="20" s="1"/>
  <c r="D934" i="20" s="1"/>
  <c r="G1069" i="13"/>
  <c r="E2007" i="20"/>
  <c r="F2007" i="20" s="1"/>
  <c r="D2008" i="20" s="1"/>
  <c r="E1421" i="13"/>
  <c r="F1421" i="13" s="1"/>
  <c r="D1422" i="13" s="1"/>
  <c r="E724" i="13"/>
  <c r="F724" i="13" s="1"/>
  <c r="D725" i="13" s="1"/>
  <c r="E201" i="13"/>
  <c r="F201" i="13" s="1"/>
  <c r="E299" i="20"/>
  <c r="F299" i="20" s="1"/>
  <c r="E1195" i="20"/>
  <c r="F1195" i="20" s="1"/>
  <c r="D1196" i="20" s="1"/>
  <c r="E387" i="20"/>
  <c r="F387" i="20" s="1"/>
  <c r="E141" i="2"/>
  <c r="E1018" i="20"/>
  <c r="F1018" i="20" s="1"/>
  <c r="E1159" i="13"/>
  <c r="F1159" i="13" s="1"/>
  <c r="D1160" i="13" s="1"/>
  <c r="B142" i="2"/>
  <c r="B143" i="2" s="1"/>
  <c r="B144" i="2" s="1"/>
  <c r="E209" i="20"/>
  <c r="F209" i="20" s="1"/>
  <c r="L50" i="41"/>
  <c r="I50" i="41"/>
  <c r="I51" i="41" s="1"/>
  <c r="G1940" i="13"/>
  <c r="G1768" i="13"/>
  <c r="E1468" i="20"/>
  <c r="F1468" i="20" s="1"/>
  <c r="E114" i="13"/>
  <c r="F114" i="13" s="1"/>
  <c r="E551" i="13"/>
  <c r="F551" i="13" s="1"/>
  <c r="D552" i="13" s="1"/>
  <c r="E1070" i="13"/>
  <c r="F1070" i="13" s="1"/>
  <c r="D1071" i="13" s="1"/>
  <c r="E1920" i="20"/>
  <c r="F1920" i="20" s="1"/>
  <c r="D1921" i="20" s="1"/>
  <c r="E1941" i="13"/>
  <c r="F1941" i="13" s="1"/>
  <c r="G723" i="13"/>
  <c r="G983" i="13"/>
  <c r="E1379" i="20"/>
  <c r="F1379" i="20" s="1"/>
  <c r="E1288" i="20"/>
  <c r="F1288" i="20" s="1"/>
  <c r="E748" i="20"/>
  <c r="F748" i="20" s="1"/>
  <c r="B145" i="2" l="1"/>
  <c r="B146" i="2" s="1"/>
  <c r="G551" i="13"/>
  <c r="D388" i="20"/>
  <c r="E388" i="20" s="1"/>
  <c r="F388" i="20" s="1"/>
  <c r="D1380" i="20"/>
  <c r="E1380" i="20" s="1"/>
  <c r="F1380" i="20" s="1"/>
  <c r="D1381" i="20" s="1"/>
  <c r="D300" i="20"/>
  <c r="E300" i="20" s="1"/>
  <c r="F300" i="20" s="1"/>
  <c r="G1159" i="13"/>
  <c r="D569" i="20"/>
  <c r="D1289" i="20"/>
  <c r="D1942" i="13"/>
  <c r="G1941" i="13"/>
  <c r="D115" i="13"/>
  <c r="G114" i="13"/>
  <c r="D210" i="20"/>
  <c r="D1469" i="20"/>
  <c r="D462" i="13"/>
  <c r="G461" i="13"/>
  <c r="D749" i="20"/>
  <c r="D985" i="13"/>
  <c r="G984" i="13"/>
  <c r="D1019" i="20"/>
  <c r="D202" i="13"/>
  <c r="G201" i="13"/>
  <c r="D658" i="20"/>
  <c r="D1770" i="13"/>
  <c r="G1769" i="13"/>
  <c r="E1921" i="20"/>
  <c r="F1921" i="20" s="1"/>
  <c r="D1922" i="20" s="1"/>
  <c r="E1196" i="20"/>
  <c r="F1196" i="20" s="1"/>
  <c r="D1197" i="20" s="1"/>
  <c r="G1680" i="13"/>
  <c r="A68" i="34"/>
  <c r="B68" i="34"/>
  <c r="B69" i="34"/>
  <c r="E377" i="13"/>
  <c r="F377" i="13" s="1"/>
  <c r="E1160" i="13"/>
  <c r="F1160" i="13" s="1"/>
  <c r="B70" i="34"/>
  <c r="G900" i="13"/>
  <c r="E1827" i="20"/>
  <c r="F1827" i="20" s="1"/>
  <c r="E118" i="20"/>
  <c r="F118" i="20" s="1"/>
  <c r="E2008" i="20"/>
  <c r="F2008" i="20" s="1"/>
  <c r="E1333" i="13"/>
  <c r="F1333" i="13" s="1"/>
  <c r="E1594" i="13"/>
  <c r="F1594" i="13" s="1"/>
  <c r="D1595" i="13" s="1"/>
  <c r="E1071" i="13"/>
  <c r="F1071" i="13" s="1"/>
  <c r="G1421" i="13"/>
  <c r="E901" i="13"/>
  <c r="F901" i="13" s="1"/>
  <c r="E636" i="13"/>
  <c r="F636" i="13" s="1"/>
  <c r="D637" i="13" s="1"/>
  <c r="E1853" i="13"/>
  <c r="F1853" i="13" s="1"/>
  <c r="E840" i="20"/>
  <c r="F840" i="20" s="1"/>
  <c r="E811" i="13"/>
  <c r="F811" i="13" s="1"/>
  <c r="D812" i="13" s="1"/>
  <c r="E1739" i="20"/>
  <c r="F1739" i="20" s="1"/>
  <c r="E1681" i="13"/>
  <c r="F1681" i="13" s="1"/>
  <c r="D1682" i="13" s="1"/>
  <c r="G1070" i="13"/>
  <c r="G724" i="13"/>
  <c r="E1247" i="13"/>
  <c r="F1247" i="13" s="1"/>
  <c r="E478" i="20"/>
  <c r="F478" i="20" s="1"/>
  <c r="D479" i="20" s="1"/>
  <c r="E1422" i="13"/>
  <c r="F1422" i="13" s="1"/>
  <c r="D1423" i="13" s="1"/>
  <c r="E725" i="13"/>
  <c r="F725" i="13" s="1"/>
  <c r="D726" i="13" s="1"/>
  <c r="E552" i="13"/>
  <c r="F552" i="13" s="1"/>
  <c r="E934" i="20"/>
  <c r="F934" i="20" s="1"/>
  <c r="D935" i="20" s="1"/>
  <c r="G1332" i="13"/>
  <c r="E1648" i="20"/>
  <c r="F1648" i="20" s="1"/>
  <c r="E1110" i="20"/>
  <c r="F1110" i="20" s="1"/>
  <c r="E290" i="13"/>
  <c r="F290" i="13" s="1"/>
  <c r="E1506" i="13"/>
  <c r="F1506" i="13" s="1"/>
  <c r="D1507" i="13" s="1"/>
  <c r="E1562" i="20"/>
  <c r="F1562" i="20" s="1"/>
  <c r="D1563" i="20" s="1"/>
  <c r="B147" i="2" l="1"/>
  <c r="E147" i="2"/>
  <c r="D2009" i="20"/>
  <c r="E2009" i="20" s="1"/>
  <c r="F2009" i="20" s="1"/>
  <c r="D2010" i="20" s="1"/>
  <c r="D1334" i="13"/>
  <c r="G1333" i="13"/>
  <c r="D841" i="20"/>
  <c r="E841" i="20" s="1"/>
  <c r="F841" i="20" s="1"/>
  <c r="D389" i="20"/>
  <c r="E389" i="20" s="1"/>
  <c r="F389" i="20" s="1"/>
  <c r="D390" i="20" s="1"/>
  <c r="D119" i="20"/>
  <c r="D1828" i="20"/>
  <c r="E1828" i="20" s="1"/>
  <c r="F1828" i="20" s="1"/>
  <c r="D902" i="13"/>
  <c r="E902" i="13" s="1"/>
  <c r="F902" i="13" s="1"/>
  <c r="G901" i="13"/>
  <c r="D1072" i="13"/>
  <c r="G1071" i="13"/>
  <c r="D378" i="13"/>
  <c r="G377" i="13"/>
  <c r="D291" i="13"/>
  <c r="G290" i="13"/>
  <c r="D1111" i="20"/>
  <c r="D553" i="13"/>
  <c r="G552" i="13"/>
  <c r="D1649" i="20"/>
  <c r="D1161" i="13"/>
  <c r="G1160" i="13"/>
  <c r="D1248" i="13"/>
  <c r="G1247" i="13"/>
  <c r="D301" i="20"/>
  <c r="D1740" i="20"/>
  <c r="D1854" i="13"/>
  <c r="G1853" i="13"/>
  <c r="E726" i="13"/>
  <c r="F726" i="13" s="1"/>
  <c r="G1506" i="13"/>
  <c r="E462" i="13"/>
  <c r="F462" i="13" s="1"/>
  <c r="E115" i="13"/>
  <c r="F115" i="13" s="1"/>
  <c r="E569" i="20"/>
  <c r="F569" i="20" s="1"/>
  <c r="D570" i="20" s="1"/>
  <c r="G725" i="13"/>
  <c r="G811" i="13"/>
  <c r="A69" i="34"/>
  <c r="E1770" i="13"/>
  <c r="F1770" i="13" s="1"/>
  <c r="D1771" i="13" s="1"/>
  <c r="E1019" i="20"/>
  <c r="F1019" i="20" s="1"/>
  <c r="E1507" i="13"/>
  <c r="F1507" i="13" s="1"/>
  <c r="E1381" i="20"/>
  <c r="F1381" i="20" s="1"/>
  <c r="D1382" i="20" s="1"/>
  <c r="E1563" i="20"/>
  <c r="F1563" i="20" s="1"/>
  <c r="D1564" i="20" s="1"/>
  <c r="E1423" i="13"/>
  <c r="F1423" i="13" s="1"/>
  <c r="D1424" i="13" s="1"/>
  <c r="E1595" i="13"/>
  <c r="F1595" i="13" s="1"/>
  <c r="E658" i="20"/>
  <c r="F658" i="20" s="1"/>
  <c r="E935" i="20"/>
  <c r="F935" i="20" s="1"/>
  <c r="E479" i="20"/>
  <c r="F479" i="20" s="1"/>
  <c r="D480" i="20" s="1"/>
  <c r="E812" i="13"/>
  <c r="F812" i="13" s="1"/>
  <c r="E985" i="13"/>
  <c r="F985" i="13" s="1"/>
  <c r="E1289" i="20"/>
  <c r="F1289" i="20" s="1"/>
  <c r="D1290" i="20" s="1"/>
  <c r="E1682" i="13"/>
  <c r="F1682" i="13" s="1"/>
  <c r="E1197" i="20"/>
  <c r="F1197" i="20" s="1"/>
  <c r="D1198" i="20" s="1"/>
  <c r="E1942" i="13"/>
  <c r="F1942" i="13" s="1"/>
  <c r="D1943" i="13" s="1"/>
  <c r="G1681" i="13"/>
  <c r="E1469" i="20"/>
  <c r="F1469" i="20" s="1"/>
  <c r="G1422" i="13"/>
  <c r="G636" i="13"/>
  <c r="G1594" i="13"/>
  <c r="E202" i="13"/>
  <c r="F202" i="13" s="1"/>
  <c r="D203" i="13" s="1"/>
  <c r="E749" i="20"/>
  <c r="F749" i="20" s="1"/>
  <c r="E210" i="20"/>
  <c r="F210" i="20" s="1"/>
  <c r="E1922" i="20"/>
  <c r="F1922" i="20" s="1"/>
  <c r="E637" i="13"/>
  <c r="F637" i="13" s="1"/>
  <c r="E149" i="2" l="1"/>
  <c r="D299" i="2"/>
  <c r="B149" i="2"/>
  <c r="B150" i="2" s="1"/>
  <c r="D314" i="2" s="1"/>
  <c r="E1334" i="13"/>
  <c r="F1334" i="13" s="1"/>
  <c r="D116" i="13"/>
  <c r="E116" i="13" s="1"/>
  <c r="F116" i="13" s="1"/>
  <c r="D117" i="13" s="1"/>
  <c r="G115" i="13"/>
  <c r="D463" i="13"/>
  <c r="E463" i="13" s="1"/>
  <c r="F463" i="13" s="1"/>
  <c r="D464" i="13" s="1"/>
  <c r="G462" i="13"/>
  <c r="D986" i="13"/>
  <c r="E986" i="13" s="1"/>
  <c r="F986" i="13" s="1"/>
  <c r="G985" i="13"/>
  <c r="D1683" i="13"/>
  <c r="E1683" i="13" s="1"/>
  <c r="F1683" i="13" s="1"/>
  <c r="G1682" i="13"/>
  <c r="E119" i="20"/>
  <c r="F119" i="20" s="1"/>
  <c r="D936" i="20"/>
  <c r="D659" i="20"/>
  <c r="D1470" i="20"/>
  <c r="D638" i="13"/>
  <c r="G637" i="13"/>
  <c r="D1508" i="13"/>
  <c r="G1507" i="13"/>
  <c r="D813" i="13"/>
  <c r="G812" i="13"/>
  <c r="D903" i="13"/>
  <c r="G902" i="13"/>
  <c r="D750" i="20"/>
  <c r="D1923" i="20"/>
  <c r="D211" i="20"/>
  <c r="D1829" i="20"/>
  <c r="D1596" i="13"/>
  <c r="G1595" i="13"/>
  <c r="D1020" i="20"/>
  <c r="D842" i="20"/>
  <c r="D727" i="13"/>
  <c r="G726" i="13"/>
  <c r="E1943" i="13"/>
  <c r="F1943" i="13" s="1"/>
  <c r="D1944" i="13" s="1"/>
  <c r="E1424" i="13"/>
  <c r="F1424" i="13" s="1"/>
  <c r="D1425" i="13" s="1"/>
  <c r="E570" i="20"/>
  <c r="F570" i="20" s="1"/>
  <c r="E390" i="20"/>
  <c r="F390" i="20" s="1"/>
  <c r="D391" i="20" s="1"/>
  <c r="G202" i="13"/>
  <c r="E2010" i="20"/>
  <c r="F2010" i="20" s="1"/>
  <c r="G1423" i="13"/>
  <c r="E1854" i="13"/>
  <c r="F1854" i="13" s="1"/>
  <c r="E1248" i="13"/>
  <c r="F1248" i="13" s="1"/>
  <c r="D1249" i="13" s="1"/>
  <c r="E1072" i="13"/>
  <c r="F1072" i="13" s="1"/>
  <c r="G1770" i="13"/>
  <c r="E203" i="13"/>
  <c r="F203" i="13" s="1"/>
  <c r="D204" i="13" s="1"/>
  <c r="E1382" i="20"/>
  <c r="F1382" i="20" s="1"/>
  <c r="D1383" i="20" s="1"/>
  <c r="E1161" i="13"/>
  <c r="F1161" i="13" s="1"/>
  <c r="E1740" i="20"/>
  <c r="F1740" i="20" s="1"/>
  <c r="D1741" i="20" s="1"/>
  <c r="A70" i="34"/>
  <c r="E291" i="13"/>
  <c r="F291" i="13" s="1"/>
  <c r="D292" i="13" s="1"/>
  <c r="E553" i="13"/>
  <c r="F553" i="13" s="1"/>
  <c r="E1290" i="20"/>
  <c r="F1290" i="20" s="1"/>
  <c r="E1198" i="20"/>
  <c r="F1198" i="20" s="1"/>
  <c r="E1649" i="20"/>
  <c r="F1649" i="20" s="1"/>
  <c r="E480" i="20"/>
  <c r="F480" i="20" s="1"/>
  <c r="E1564" i="20"/>
  <c r="F1564" i="20" s="1"/>
  <c r="E1771" i="13"/>
  <c r="F1771" i="13" s="1"/>
  <c r="D1772" i="13" s="1"/>
  <c r="E1111" i="20"/>
  <c r="F1111" i="20" s="1"/>
  <c r="G1942" i="13"/>
  <c r="E301" i="20"/>
  <c r="F301" i="20" s="1"/>
  <c r="E378" i="13"/>
  <c r="F378" i="13" s="1"/>
  <c r="B151" i="2" l="1"/>
  <c r="B153" i="2" s="1"/>
  <c r="B154" i="2" s="1"/>
  <c r="D309" i="2"/>
  <c r="D312" i="2"/>
  <c r="E151" i="2"/>
  <c r="C48" i="13"/>
  <c r="E27" i="2"/>
  <c r="C48" i="20"/>
  <c r="D1335" i="13"/>
  <c r="E1335" i="13" s="1"/>
  <c r="F1335" i="13" s="1"/>
  <c r="D1336" i="13" s="1"/>
  <c r="E1336" i="13" s="1"/>
  <c r="F1336" i="13" s="1"/>
  <c r="G1334" i="13"/>
  <c r="D1650" i="20"/>
  <c r="E1650" i="20" s="1"/>
  <c r="F1650" i="20" s="1"/>
  <c r="D554" i="13"/>
  <c r="E554" i="13" s="1"/>
  <c r="F554" i="13" s="1"/>
  <c r="G553" i="13"/>
  <c r="D2011" i="20"/>
  <c r="E2011" i="20" s="1"/>
  <c r="F2011" i="20" s="1"/>
  <c r="D1199" i="20"/>
  <c r="E1199" i="20" s="1"/>
  <c r="F1199" i="20" s="1"/>
  <c r="D1200" i="20" s="1"/>
  <c r="D379" i="13"/>
  <c r="E379" i="13" s="1"/>
  <c r="F379" i="13" s="1"/>
  <c r="G378" i="13"/>
  <c r="D120" i="20"/>
  <c r="D1112" i="20"/>
  <c r="E1112" i="20" s="1"/>
  <c r="F1112" i="20" s="1"/>
  <c r="D1565" i="20"/>
  <c r="E1565" i="20" s="1"/>
  <c r="F1565" i="20" s="1"/>
  <c r="D987" i="13"/>
  <c r="G986" i="13"/>
  <c r="D1073" i="13"/>
  <c r="G1072" i="13"/>
  <c r="D1291" i="20"/>
  <c r="D481" i="20"/>
  <c r="D571" i="20"/>
  <c r="D302" i="20"/>
  <c r="D1684" i="13"/>
  <c r="G1683" i="13"/>
  <c r="D1162" i="13"/>
  <c r="G1161" i="13"/>
  <c r="D1855" i="13"/>
  <c r="G1854" i="13"/>
  <c r="E292" i="13"/>
  <c r="F292" i="13" s="1"/>
  <c r="G1943" i="13"/>
  <c r="E936" i="20"/>
  <c r="F936" i="20" s="1"/>
  <c r="D937" i="20" s="1"/>
  <c r="E1020" i="20"/>
  <c r="F1020" i="20" s="1"/>
  <c r="E211" i="20"/>
  <c r="F211" i="20" s="1"/>
  <c r="E903" i="13"/>
  <c r="F903" i="13" s="1"/>
  <c r="E391" i="20"/>
  <c r="F391" i="20" s="1"/>
  <c r="E464" i="13"/>
  <c r="F464" i="13" s="1"/>
  <c r="G291" i="13"/>
  <c r="E1470" i="20"/>
  <c r="F1470" i="20" s="1"/>
  <c r="E1596" i="13"/>
  <c r="F1596" i="13" s="1"/>
  <c r="D1597" i="13" s="1"/>
  <c r="G1771" i="13"/>
  <c r="G116" i="13"/>
  <c r="G1248" i="13"/>
  <c r="G1424" i="13"/>
  <c r="E1923" i="20"/>
  <c r="F1923" i="20" s="1"/>
  <c r="E1741" i="20"/>
  <c r="F1741" i="20" s="1"/>
  <c r="E638" i="13"/>
  <c r="F638" i="13" s="1"/>
  <c r="D639" i="13" s="1"/>
  <c r="E1383" i="20"/>
  <c r="F1383" i="20" s="1"/>
  <c r="E727" i="13"/>
  <c r="F727" i="13" s="1"/>
  <c r="D728" i="13" s="1"/>
  <c r="E1425" i="13"/>
  <c r="F1425" i="13" s="1"/>
  <c r="E1508" i="13"/>
  <c r="F1508" i="13" s="1"/>
  <c r="D1509" i="13" s="1"/>
  <c r="E659" i="20"/>
  <c r="F659" i="20" s="1"/>
  <c r="D660" i="20" s="1"/>
  <c r="A72" i="34"/>
  <c r="A74" i="34" s="1"/>
  <c r="A75" i="34" s="1"/>
  <c r="A76" i="34" s="1"/>
  <c r="A79" i="34" s="1"/>
  <c r="E204" i="13"/>
  <c r="F204" i="13" s="1"/>
  <c r="D205" i="13" s="1"/>
  <c r="E1944" i="13"/>
  <c r="F1944" i="13" s="1"/>
  <c r="E750" i="20"/>
  <c r="F750" i="20" s="1"/>
  <c r="D751" i="20" s="1"/>
  <c r="G463" i="13"/>
  <c r="E117" i="13"/>
  <c r="F117" i="13" s="1"/>
  <c r="D118" i="13" s="1"/>
  <c r="E1249" i="13"/>
  <c r="F1249" i="13" s="1"/>
  <c r="E1772" i="13"/>
  <c r="F1772" i="13" s="1"/>
  <c r="E813" i="13"/>
  <c r="F813" i="13" s="1"/>
  <c r="G203" i="13"/>
  <c r="E842" i="20"/>
  <c r="F842" i="20" s="1"/>
  <c r="E1829" i="20"/>
  <c r="F1829" i="20" s="1"/>
  <c r="G1335" i="13" l="1"/>
  <c r="D1113" i="20"/>
  <c r="E1113" i="20" s="1"/>
  <c r="F1113" i="20" s="1"/>
  <c r="D1114" i="20" s="1"/>
  <c r="D2012" i="20"/>
  <c r="E2012" i="20" s="1"/>
  <c r="F2012" i="20" s="1"/>
  <c r="D1384" i="20"/>
  <c r="E1384" i="20" s="1"/>
  <c r="F1384" i="20" s="1"/>
  <c r="E120" i="20"/>
  <c r="F120" i="20" s="1"/>
  <c r="G204" i="13"/>
  <c r="D1773" i="13"/>
  <c r="G1772" i="13"/>
  <c r="D1945" i="13"/>
  <c r="G1944" i="13"/>
  <c r="D843" i="20"/>
  <c r="D1742" i="20"/>
  <c r="D1651" i="20"/>
  <c r="D904" i="13"/>
  <c r="G903" i="13"/>
  <c r="D212" i="20"/>
  <c r="D1566" i="20"/>
  <c r="D1021" i="20"/>
  <c r="D814" i="13"/>
  <c r="G813" i="13"/>
  <c r="D1250" i="13"/>
  <c r="G1249" i="13"/>
  <c r="D555" i="13"/>
  <c r="G554" i="13"/>
  <c r="D1426" i="13"/>
  <c r="G1425" i="13"/>
  <c r="D380" i="13"/>
  <c r="G379" i="13"/>
  <c r="D1924" i="20"/>
  <c r="D1471" i="20"/>
  <c r="D465" i="13"/>
  <c r="G464" i="13"/>
  <c r="D1830" i="20"/>
  <c r="D293" i="13"/>
  <c r="G292" i="13"/>
  <c r="D1337" i="13"/>
  <c r="G1336" i="13"/>
  <c r="D392" i="20"/>
  <c r="E728" i="13"/>
  <c r="F728" i="13" s="1"/>
  <c r="E1200" i="20"/>
  <c r="F1200" i="20" s="1"/>
  <c r="G638" i="13"/>
  <c r="E481" i="20"/>
  <c r="F481" i="20" s="1"/>
  <c r="E118" i="13"/>
  <c r="F118" i="13" s="1"/>
  <c r="D119" i="13" s="1"/>
  <c r="E639" i="13"/>
  <c r="F639" i="13" s="1"/>
  <c r="G117" i="13"/>
  <c r="C76" i="13"/>
  <c r="C59" i="20"/>
  <c r="C76" i="20"/>
  <c r="C59" i="13"/>
  <c r="B155" i="2"/>
  <c r="B156" i="2" s="1"/>
  <c r="B157" i="2" s="1"/>
  <c r="E31" i="2"/>
  <c r="E302" i="20"/>
  <c r="F302" i="20" s="1"/>
  <c r="E751" i="20"/>
  <c r="F751" i="20" s="1"/>
  <c r="D752" i="20" s="1"/>
  <c r="E1509" i="13"/>
  <c r="F1509" i="13" s="1"/>
  <c r="E1855" i="13"/>
  <c r="F1855" i="13" s="1"/>
  <c r="E1291" i="20"/>
  <c r="F1291" i="20" s="1"/>
  <c r="E660" i="20"/>
  <c r="F660" i="20" s="1"/>
  <c r="A80" i="34"/>
  <c r="B84" i="34"/>
  <c r="E205" i="13"/>
  <c r="F205" i="13" s="1"/>
  <c r="G1508" i="13"/>
  <c r="E1162" i="13"/>
  <c r="F1162" i="13" s="1"/>
  <c r="E571" i="20"/>
  <c r="F571" i="20" s="1"/>
  <c r="E1073" i="13"/>
  <c r="F1073" i="13" s="1"/>
  <c r="D1074" i="13" s="1"/>
  <c r="E937" i="20"/>
  <c r="F937" i="20" s="1"/>
  <c r="E1597" i="13"/>
  <c r="F1597" i="13" s="1"/>
  <c r="G727" i="13"/>
  <c r="G1596" i="13"/>
  <c r="E1684" i="13"/>
  <c r="F1684" i="13" s="1"/>
  <c r="E987" i="13"/>
  <c r="F987" i="13" s="1"/>
  <c r="E157" i="2" l="1"/>
  <c r="D729" i="13"/>
  <c r="E729" i="13" s="1"/>
  <c r="F729" i="13" s="1"/>
  <c r="D730" i="13" s="1"/>
  <c r="G728" i="13"/>
  <c r="D1856" i="13"/>
  <c r="E1856" i="13" s="1"/>
  <c r="G1855" i="13"/>
  <c r="D1510" i="13"/>
  <c r="E1510" i="13" s="1"/>
  <c r="F1510" i="13" s="1"/>
  <c r="D1511" i="13" s="1"/>
  <c r="G1509" i="13"/>
  <c r="D206" i="13"/>
  <c r="E206" i="13" s="1"/>
  <c r="F206" i="13" s="1"/>
  <c r="D207" i="13" s="1"/>
  <c r="G205" i="13"/>
  <c r="D121" i="20"/>
  <c r="D938" i="20"/>
  <c r="D1201" i="20"/>
  <c r="D1685" i="13"/>
  <c r="G1684" i="13"/>
  <c r="D661" i="20"/>
  <c r="D572" i="20"/>
  <c r="D2013" i="20"/>
  <c r="D1292" i="20"/>
  <c r="D988" i="13"/>
  <c r="G987" i="13"/>
  <c r="D1163" i="13"/>
  <c r="G1162" i="13"/>
  <c r="D303" i="20"/>
  <c r="D482" i="20"/>
  <c r="D1598" i="13"/>
  <c r="G1597" i="13"/>
  <c r="D1385" i="20"/>
  <c r="D640" i="13"/>
  <c r="G639" i="13"/>
  <c r="E119" i="13"/>
  <c r="F119" i="13" s="1"/>
  <c r="D120" i="13" s="1"/>
  <c r="A81" i="34"/>
  <c r="B85" i="34"/>
  <c r="E1337" i="13"/>
  <c r="F1337" i="13" s="1"/>
  <c r="D1338" i="13" s="1"/>
  <c r="E212" i="20"/>
  <c r="F212" i="20" s="1"/>
  <c r="E1742" i="20"/>
  <c r="F1742" i="20" s="1"/>
  <c r="D1743" i="20" s="1"/>
  <c r="E1471" i="20"/>
  <c r="F1471" i="20" s="1"/>
  <c r="E1021" i="20"/>
  <c r="F1021" i="20" s="1"/>
  <c r="E555" i="13"/>
  <c r="F555" i="13" s="1"/>
  <c r="E843" i="20"/>
  <c r="F843" i="20" s="1"/>
  <c r="D844" i="20" s="1"/>
  <c r="E293" i="13"/>
  <c r="F293" i="13" s="1"/>
  <c r="E904" i="13"/>
  <c r="F904" i="13" s="1"/>
  <c r="E1426" i="13"/>
  <c r="F1426" i="13" s="1"/>
  <c r="D1427" i="13" s="1"/>
  <c r="G118" i="13"/>
  <c r="E1114" i="20"/>
  <c r="F1114" i="20" s="1"/>
  <c r="D1115" i="20" s="1"/>
  <c r="E1830" i="20"/>
  <c r="F1830" i="20" s="1"/>
  <c r="E1924" i="20"/>
  <c r="F1924" i="20" s="1"/>
  <c r="D1925" i="20" s="1"/>
  <c r="E1250" i="13"/>
  <c r="F1250" i="13" s="1"/>
  <c r="E1566" i="20"/>
  <c r="F1566" i="20" s="1"/>
  <c r="D1567" i="20" s="1"/>
  <c r="E1651" i="20"/>
  <c r="F1651" i="20" s="1"/>
  <c r="E1945" i="13"/>
  <c r="F1945" i="13" s="1"/>
  <c r="G1073" i="13"/>
  <c r="B159" i="2"/>
  <c r="B160" i="2" s="1"/>
  <c r="B161" i="2" s="1"/>
  <c r="E392" i="20"/>
  <c r="F392" i="20" s="1"/>
  <c r="D393" i="20" s="1"/>
  <c r="E1074" i="13"/>
  <c r="F1074" i="13" s="1"/>
  <c r="D1075" i="13" s="1"/>
  <c r="E752" i="20"/>
  <c r="F752" i="20" s="1"/>
  <c r="E465" i="13"/>
  <c r="F465" i="13" s="1"/>
  <c r="E380" i="13"/>
  <c r="F380" i="13" s="1"/>
  <c r="E814" i="13"/>
  <c r="F814" i="13" s="1"/>
  <c r="D815" i="13" s="1"/>
  <c r="E1773" i="13"/>
  <c r="F1773" i="13" s="1"/>
  <c r="D1774" i="13" s="1"/>
  <c r="F1856" i="13" l="1"/>
  <c r="D1857" i="13" s="1"/>
  <c r="E1857" i="13" s="1"/>
  <c r="F1857" i="13" s="1"/>
  <c r="D1858" i="13" s="1"/>
  <c r="D1251" i="13"/>
  <c r="E1251" i="13" s="1"/>
  <c r="F1251" i="13" s="1"/>
  <c r="D1252" i="13" s="1"/>
  <c r="G1250" i="13"/>
  <c r="D213" i="20"/>
  <c r="E213" i="20" s="1"/>
  <c r="F213" i="20" s="1"/>
  <c r="G1510" i="13"/>
  <c r="E121" i="20"/>
  <c r="F121" i="20" s="1"/>
  <c r="D1472" i="20"/>
  <c r="D1946" i="13"/>
  <c r="G1945" i="13"/>
  <c r="D1022" i="20"/>
  <c r="D753" i="20"/>
  <c r="D1652" i="20"/>
  <c r="D466" i="13"/>
  <c r="G465" i="13"/>
  <c r="D1831" i="20"/>
  <c r="D905" i="13"/>
  <c r="G904" i="13"/>
  <c r="D381" i="13"/>
  <c r="G380" i="13"/>
  <c r="D294" i="13"/>
  <c r="G293" i="13"/>
  <c r="D556" i="13"/>
  <c r="G555" i="13"/>
  <c r="E1075" i="13"/>
  <c r="F1075" i="13" s="1"/>
  <c r="E393" i="20"/>
  <c r="F393" i="20" s="1"/>
  <c r="E844" i="20"/>
  <c r="F844" i="20" s="1"/>
  <c r="A84" i="34"/>
  <c r="A85" i="34" s="1"/>
  <c r="A86" i="34" s="1"/>
  <c r="A87" i="34" s="1"/>
  <c r="A96" i="34" s="1"/>
  <c r="B86" i="34"/>
  <c r="E1385" i="20"/>
  <c r="F1385" i="20" s="1"/>
  <c r="E303" i="20"/>
  <c r="F303" i="20" s="1"/>
  <c r="E661" i="20"/>
  <c r="F661" i="20" s="1"/>
  <c r="E938" i="20"/>
  <c r="F938" i="20" s="1"/>
  <c r="G1773" i="13"/>
  <c r="G119" i="13"/>
  <c r="E1925" i="20"/>
  <c r="F1925" i="20" s="1"/>
  <c r="E1511" i="13"/>
  <c r="F1511" i="13" s="1"/>
  <c r="E1774" i="13"/>
  <c r="F1774" i="13" s="1"/>
  <c r="D1775" i="13" s="1"/>
  <c r="E1115" i="20"/>
  <c r="F1115" i="20" s="1"/>
  <c r="E1743" i="20"/>
  <c r="F1743" i="20" s="1"/>
  <c r="D1744" i="20" s="1"/>
  <c r="E120" i="13"/>
  <c r="F120" i="13" s="1"/>
  <c r="E1598" i="13"/>
  <c r="F1598" i="13" s="1"/>
  <c r="D1599" i="13" s="1"/>
  <c r="E1163" i="13"/>
  <c r="F1163" i="13" s="1"/>
  <c r="E2013" i="20"/>
  <c r="F2013" i="20" s="1"/>
  <c r="E1685" i="13"/>
  <c r="F1685" i="13" s="1"/>
  <c r="D1686" i="13" s="1"/>
  <c r="G814" i="13"/>
  <c r="B162" i="2"/>
  <c r="B163" i="2" s="1"/>
  <c r="B164" i="2" s="1"/>
  <c r="B165" i="2" s="1"/>
  <c r="B166" i="2" s="1"/>
  <c r="E1567" i="20"/>
  <c r="F1567" i="20" s="1"/>
  <c r="G206" i="13"/>
  <c r="G1337" i="13"/>
  <c r="E988" i="13"/>
  <c r="F988" i="13" s="1"/>
  <c r="D989" i="13" s="1"/>
  <c r="E815" i="13"/>
  <c r="F815" i="13" s="1"/>
  <c r="E1427" i="13"/>
  <c r="F1427" i="13" s="1"/>
  <c r="D1428" i="13" s="1"/>
  <c r="E730" i="13"/>
  <c r="F730" i="13" s="1"/>
  <c r="D731" i="13" s="1"/>
  <c r="E1338" i="13"/>
  <c r="F1338" i="13" s="1"/>
  <c r="E640" i="13"/>
  <c r="F640" i="13" s="1"/>
  <c r="E482" i="20"/>
  <c r="F482" i="20" s="1"/>
  <c r="E572" i="20"/>
  <c r="F572" i="20" s="1"/>
  <c r="E1201" i="20"/>
  <c r="F1201" i="20" s="1"/>
  <c r="E207" i="13"/>
  <c r="F207" i="13" s="1"/>
  <c r="G1074" i="13"/>
  <c r="G1426" i="13"/>
  <c r="G729" i="13"/>
  <c r="E1292" i="20"/>
  <c r="F1292" i="20" s="1"/>
  <c r="D1293" i="20" s="1"/>
  <c r="G1856" i="13" l="1"/>
  <c r="G1685" i="13"/>
  <c r="G1598" i="13"/>
  <c r="D122" i="20"/>
  <c r="D1568" i="20"/>
  <c r="E1568" i="20" s="1"/>
  <c r="F1568" i="20" s="1"/>
  <c r="D2014" i="20"/>
  <c r="D483" i="20"/>
  <c r="D1202" i="20"/>
  <c r="D573" i="20"/>
  <c r="D214" i="20"/>
  <c r="D641" i="13"/>
  <c r="G640" i="13"/>
  <c r="D304" i="20"/>
  <c r="D1386" i="20"/>
  <c r="D1512" i="13"/>
  <c r="G1511" i="13"/>
  <c r="D845" i="20"/>
  <c r="D394" i="20"/>
  <c r="D1164" i="13"/>
  <c r="G1163" i="13"/>
  <c r="D1339" i="13"/>
  <c r="G1338" i="13"/>
  <c r="D816" i="13"/>
  <c r="G815" i="13"/>
  <c r="D1926" i="20"/>
  <c r="D939" i="20"/>
  <c r="D1116" i="20"/>
  <c r="D1076" i="13"/>
  <c r="G1075" i="13"/>
  <c r="D208" i="13"/>
  <c r="G207" i="13"/>
  <c r="D121" i="13"/>
  <c r="G120" i="13"/>
  <c r="D662" i="20"/>
  <c r="E1858" i="13"/>
  <c r="F1858" i="13" s="1"/>
  <c r="E1775" i="13"/>
  <c r="F1775" i="13" s="1"/>
  <c r="D1776" i="13" s="1"/>
  <c r="E1252" i="13"/>
  <c r="F1252" i="13" s="1"/>
  <c r="D1253" i="13" s="1"/>
  <c r="E1946" i="13"/>
  <c r="F1946" i="13" s="1"/>
  <c r="A97" i="34"/>
  <c r="B183" i="34"/>
  <c r="E556" i="13"/>
  <c r="F556" i="13" s="1"/>
  <c r="G1857" i="13"/>
  <c r="G1251" i="13"/>
  <c r="G1427" i="13"/>
  <c r="E166" i="2"/>
  <c r="E1831" i="20"/>
  <c r="F1831" i="20" s="1"/>
  <c r="E753" i="20"/>
  <c r="F753" i="20" s="1"/>
  <c r="E1293" i="20"/>
  <c r="F1293" i="20" s="1"/>
  <c r="E731" i="13"/>
  <c r="F731" i="13" s="1"/>
  <c r="E1744" i="20"/>
  <c r="F1744" i="20" s="1"/>
  <c r="E905" i="13"/>
  <c r="F905" i="13" s="1"/>
  <c r="D906" i="13" s="1"/>
  <c r="E1599" i="13"/>
  <c r="F1599" i="13" s="1"/>
  <c r="E294" i="13"/>
  <c r="F294" i="13" s="1"/>
  <c r="E1652" i="20"/>
  <c r="F1652" i="20" s="1"/>
  <c r="D1653" i="20" s="1"/>
  <c r="G730" i="13"/>
  <c r="E1428" i="13"/>
  <c r="F1428" i="13" s="1"/>
  <c r="D1429" i="13" s="1"/>
  <c r="B168" i="2"/>
  <c r="B169" i="2" s="1"/>
  <c r="G988" i="13"/>
  <c r="E466" i="13"/>
  <c r="F466" i="13" s="1"/>
  <c r="D467" i="13" s="1"/>
  <c r="E989" i="13"/>
  <c r="F989" i="13" s="1"/>
  <c r="E1686" i="13"/>
  <c r="F1686" i="13" s="1"/>
  <c r="G1774" i="13"/>
  <c r="E381" i="13"/>
  <c r="F381" i="13" s="1"/>
  <c r="E1022" i="20"/>
  <c r="F1022" i="20" s="1"/>
  <c r="E1472" i="20"/>
  <c r="F1472" i="20" s="1"/>
  <c r="D1687" i="13" l="1"/>
  <c r="E1687" i="13" s="1"/>
  <c r="F1687" i="13" s="1"/>
  <c r="D1688" i="13" s="1"/>
  <c r="G1686" i="13"/>
  <c r="D1023" i="20"/>
  <c r="E1023" i="20" s="1"/>
  <c r="F1023" i="20" s="1"/>
  <c r="D295" i="13"/>
  <c r="E295" i="13" s="1"/>
  <c r="F295" i="13" s="1"/>
  <c r="G294" i="13"/>
  <c r="D1294" i="20"/>
  <c r="E1294" i="20" s="1"/>
  <c r="F1294" i="20" s="1"/>
  <c r="D1745" i="20"/>
  <c r="E1745" i="20" s="1"/>
  <c r="F1745" i="20" s="1"/>
  <c r="D1746" i="20" s="1"/>
  <c r="D1569" i="20"/>
  <c r="E1569" i="20" s="1"/>
  <c r="F1569" i="20" s="1"/>
  <c r="E122" i="20"/>
  <c r="F122" i="20" s="1"/>
  <c r="D1859" i="13"/>
  <c r="G1858" i="13"/>
  <c r="D754" i="20"/>
  <c r="D1473" i="20"/>
  <c r="D1947" i="13"/>
  <c r="G1946" i="13"/>
  <c r="D382" i="13"/>
  <c r="G381" i="13"/>
  <c r="D990" i="13"/>
  <c r="G989" i="13"/>
  <c r="D1600" i="13"/>
  <c r="G1599" i="13"/>
  <c r="D1832" i="20"/>
  <c r="D732" i="13"/>
  <c r="G731" i="13"/>
  <c r="D557" i="13"/>
  <c r="G556" i="13"/>
  <c r="E906" i="13"/>
  <c r="F906" i="13" s="1"/>
  <c r="G1775" i="13"/>
  <c r="E394" i="20"/>
  <c r="F394" i="20" s="1"/>
  <c r="E1386" i="20"/>
  <c r="F1386" i="20" s="1"/>
  <c r="E641" i="13"/>
  <c r="F641" i="13" s="1"/>
  <c r="D642" i="13" s="1"/>
  <c r="G466" i="13"/>
  <c r="E662" i="20"/>
  <c r="F662" i="20" s="1"/>
  <c r="D663" i="20" s="1"/>
  <c r="E214" i="20"/>
  <c r="F214" i="20" s="1"/>
  <c r="E1116" i="20"/>
  <c r="F1116" i="20" s="1"/>
  <c r="D1117" i="20" s="1"/>
  <c r="E816" i="13"/>
  <c r="F816" i="13" s="1"/>
  <c r="E483" i="20"/>
  <c r="F483" i="20" s="1"/>
  <c r="E1429" i="13"/>
  <c r="F1429" i="13" s="1"/>
  <c r="E1164" i="13"/>
  <c r="F1164" i="13" s="1"/>
  <c r="B184" i="34"/>
  <c r="A98" i="34"/>
  <c r="E467" i="13"/>
  <c r="F467" i="13" s="1"/>
  <c r="E1926" i="20"/>
  <c r="F1926" i="20" s="1"/>
  <c r="D173" i="2"/>
  <c r="B170" i="2"/>
  <c r="E1776" i="13"/>
  <c r="F1776" i="13" s="1"/>
  <c r="G905" i="13"/>
  <c r="E1653" i="20"/>
  <c r="F1653" i="20" s="1"/>
  <c r="E1339" i="13"/>
  <c r="F1339" i="13" s="1"/>
  <c r="E845" i="20"/>
  <c r="F845" i="20" s="1"/>
  <c r="E304" i="20"/>
  <c r="F304" i="20" s="1"/>
  <c r="D305" i="20" s="1"/>
  <c r="E573" i="20"/>
  <c r="F573" i="20" s="1"/>
  <c r="D574" i="20" s="1"/>
  <c r="E1253" i="13"/>
  <c r="F1253" i="13" s="1"/>
  <c r="E1512" i="13"/>
  <c r="F1512" i="13" s="1"/>
  <c r="G1252" i="13"/>
  <c r="E1076" i="13"/>
  <c r="F1076" i="13" s="1"/>
  <c r="E1202" i="20"/>
  <c r="F1202" i="20" s="1"/>
  <c r="E121" i="13"/>
  <c r="F121" i="13" s="1"/>
  <c r="G1428" i="13"/>
  <c r="E208" i="13"/>
  <c r="F208" i="13" s="1"/>
  <c r="E939" i="20"/>
  <c r="F939" i="20" s="1"/>
  <c r="E2014" i="20"/>
  <c r="F2014" i="20" s="1"/>
  <c r="D1203" i="20" l="1"/>
  <c r="E1203" i="20" s="1"/>
  <c r="F1203" i="20" s="1"/>
  <c r="D123" i="20"/>
  <c r="D1024" i="20"/>
  <c r="E1024" i="20" s="1"/>
  <c r="F1024" i="20" s="1"/>
  <c r="D1165" i="13"/>
  <c r="E1165" i="13" s="1"/>
  <c r="F1165" i="13" s="1"/>
  <c r="G1164" i="13"/>
  <c r="D1077" i="13"/>
  <c r="E1077" i="13" s="1"/>
  <c r="F1077" i="13" s="1"/>
  <c r="D1078" i="13" s="1"/>
  <c r="G1076" i="13"/>
  <c r="D484" i="20"/>
  <c r="D846" i="20"/>
  <c r="E846" i="20" s="1"/>
  <c r="F846" i="20" s="1"/>
  <c r="D1295" i="20"/>
  <c r="E1295" i="20" s="1"/>
  <c r="F1295" i="20" s="1"/>
  <c r="D1254" i="13"/>
  <c r="E1254" i="13" s="1"/>
  <c r="F1254" i="13" s="1"/>
  <c r="D1255" i="13" s="1"/>
  <c r="G1253" i="13"/>
  <c r="D1654" i="20"/>
  <c r="D2015" i="20"/>
  <c r="D215" i="20"/>
  <c r="D296" i="13"/>
  <c r="G295" i="13"/>
  <c r="D1777" i="13"/>
  <c r="G1776" i="13"/>
  <c r="D907" i="13"/>
  <c r="G906" i="13"/>
  <c r="D395" i="20"/>
  <c r="D817" i="13"/>
  <c r="G816" i="13"/>
  <c r="D122" i="13"/>
  <c r="G121" i="13"/>
  <c r="D1513" i="13"/>
  <c r="G1512" i="13"/>
  <c r="D1430" i="13"/>
  <c r="G1429" i="13"/>
  <c r="D1387" i="20"/>
  <c r="D940" i="20"/>
  <c r="D209" i="13"/>
  <c r="G208" i="13"/>
  <c r="D1340" i="13"/>
  <c r="G1339" i="13"/>
  <c r="D1927" i="20"/>
  <c r="D1570" i="20"/>
  <c r="D468" i="13"/>
  <c r="G467" i="13"/>
  <c r="E557" i="13"/>
  <c r="F557" i="13" s="1"/>
  <c r="D558" i="13" s="1"/>
  <c r="E1859" i="13"/>
  <c r="F1859" i="13" s="1"/>
  <c r="E990" i="13"/>
  <c r="F990" i="13" s="1"/>
  <c r="D991" i="13" s="1"/>
  <c r="E732" i="13"/>
  <c r="F732" i="13" s="1"/>
  <c r="E574" i="20"/>
  <c r="F574" i="20" s="1"/>
  <c r="G1687" i="13"/>
  <c r="E1473" i="20"/>
  <c r="F1473" i="20" s="1"/>
  <c r="E305" i="20"/>
  <c r="F305" i="20" s="1"/>
  <c r="D306" i="20" s="1"/>
  <c r="E1746" i="20"/>
  <c r="F1746" i="20" s="1"/>
  <c r="E1832" i="20"/>
  <c r="F1832" i="20" s="1"/>
  <c r="E1688" i="13"/>
  <c r="F1688" i="13" s="1"/>
  <c r="D1689" i="13" s="1"/>
  <c r="C35" i="20"/>
  <c r="C35" i="13"/>
  <c r="B171" i="2"/>
  <c r="B172" i="2" s="1"/>
  <c r="B173" i="2" s="1"/>
  <c r="A99" i="34"/>
  <c r="B185" i="34"/>
  <c r="G641" i="13"/>
  <c r="E382" i="13"/>
  <c r="F382" i="13" s="1"/>
  <c r="D383" i="13" s="1"/>
  <c r="E754" i="20"/>
  <c r="F754" i="20" s="1"/>
  <c r="E663" i="20"/>
  <c r="F663" i="20" s="1"/>
  <c r="E642" i="13"/>
  <c r="F642" i="13" s="1"/>
  <c r="D643" i="13" s="1"/>
  <c r="E1600" i="13"/>
  <c r="F1600" i="13" s="1"/>
  <c r="E1117" i="20"/>
  <c r="F1117" i="20" s="1"/>
  <c r="D1118" i="20" s="1"/>
  <c r="E1947" i="13"/>
  <c r="F1947" i="13" s="1"/>
  <c r="D1948" i="13" s="1"/>
  <c r="E123" i="20" l="1"/>
  <c r="F123" i="20" s="1"/>
  <c r="D124" i="20" s="1"/>
  <c r="E124" i="20" s="1"/>
  <c r="F124" i="20" s="1"/>
  <c r="D125" i="20" s="1"/>
  <c r="D755" i="20"/>
  <c r="E755" i="20" s="1"/>
  <c r="F755" i="20" s="1"/>
  <c r="E484" i="20"/>
  <c r="F484" i="20" s="1"/>
  <c r="D1474" i="20"/>
  <c r="E1474" i="20" s="1"/>
  <c r="F1474" i="20" s="1"/>
  <c r="D1296" i="20"/>
  <c r="E1296" i="20" s="1"/>
  <c r="F1296" i="20" s="1"/>
  <c r="D1297" i="20" s="1"/>
  <c r="D1166" i="13"/>
  <c r="E1166" i="13" s="1"/>
  <c r="F1166" i="13" s="1"/>
  <c r="D1167" i="13" s="1"/>
  <c r="G1165" i="13"/>
  <c r="D733" i="13"/>
  <c r="E733" i="13" s="1"/>
  <c r="F733" i="13" s="1"/>
  <c r="G732" i="13"/>
  <c r="D1860" i="13"/>
  <c r="G1859" i="13"/>
  <c r="D847" i="20"/>
  <c r="D575" i="20"/>
  <c r="D1747" i="20"/>
  <c r="D664" i="20"/>
  <c r="D1833" i="20"/>
  <c r="D1025" i="20"/>
  <c r="D1601" i="13"/>
  <c r="G1600" i="13"/>
  <c r="D1204" i="20"/>
  <c r="A100" i="34"/>
  <c r="A101" i="34" s="1"/>
  <c r="B186" i="34"/>
  <c r="E817" i="13"/>
  <c r="F817" i="13" s="1"/>
  <c r="D818" i="13" s="1"/>
  <c r="E296" i="13"/>
  <c r="F296" i="13" s="1"/>
  <c r="G1688" i="13"/>
  <c r="E1430" i="13"/>
  <c r="F1430" i="13" s="1"/>
  <c r="E1654" i="20"/>
  <c r="F1654" i="20" s="1"/>
  <c r="G990" i="13"/>
  <c r="E1570" i="20"/>
  <c r="F1570" i="20" s="1"/>
  <c r="E395" i="20"/>
  <c r="F395" i="20" s="1"/>
  <c r="D396" i="20" s="1"/>
  <c r="E1118" i="20"/>
  <c r="F1118" i="20" s="1"/>
  <c r="E1387" i="20"/>
  <c r="F1387" i="20" s="1"/>
  <c r="G1947" i="13"/>
  <c r="B174" i="2"/>
  <c r="E178" i="2" s="1"/>
  <c r="E209" i="13"/>
  <c r="F209" i="13" s="1"/>
  <c r="E1513" i="13"/>
  <c r="F1513" i="13" s="1"/>
  <c r="E215" i="20"/>
  <c r="F215" i="20" s="1"/>
  <c r="G1077" i="13"/>
  <c r="E940" i="20"/>
  <c r="F940" i="20" s="1"/>
  <c r="E907" i="13"/>
  <c r="F907" i="13" s="1"/>
  <c r="D908" i="13" s="1"/>
  <c r="G1254" i="13"/>
  <c r="E1340" i="13"/>
  <c r="F1340" i="13" s="1"/>
  <c r="E1948" i="13"/>
  <c r="F1948" i="13" s="1"/>
  <c r="D1949" i="13" s="1"/>
  <c r="E1689" i="13"/>
  <c r="F1689" i="13" s="1"/>
  <c r="D1690" i="13" s="1"/>
  <c r="G642" i="13"/>
  <c r="E991" i="13"/>
  <c r="F991" i="13" s="1"/>
  <c r="E558" i="13"/>
  <c r="F558" i="13" s="1"/>
  <c r="G382" i="13"/>
  <c r="G557" i="13"/>
  <c r="E1927" i="20"/>
  <c r="F1927" i="20" s="1"/>
  <c r="E122" i="13"/>
  <c r="F122" i="13" s="1"/>
  <c r="E383" i="13"/>
  <c r="F383" i="13" s="1"/>
  <c r="E306" i="20"/>
  <c r="F306" i="20" s="1"/>
  <c r="E1777" i="13"/>
  <c r="F1777" i="13" s="1"/>
  <c r="E2015" i="20"/>
  <c r="F2015" i="20" s="1"/>
  <c r="E1255" i="13"/>
  <c r="F1255" i="13" s="1"/>
  <c r="D1256" i="13" s="1"/>
  <c r="E1078" i="13"/>
  <c r="F1078" i="13" s="1"/>
  <c r="E643" i="13"/>
  <c r="F643" i="13" s="1"/>
  <c r="D644" i="13" s="1"/>
  <c r="E468" i="13"/>
  <c r="F468" i="13" s="1"/>
  <c r="D469" i="13" s="1"/>
  <c r="D485" i="20" l="1"/>
  <c r="E485" i="20" s="1"/>
  <c r="F485" i="20" s="1"/>
  <c r="D486" i="20" s="1"/>
  <c r="E486" i="20" s="1"/>
  <c r="F486" i="20" s="1"/>
  <c r="D307" i="20"/>
  <c r="E307" i="20" s="1"/>
  <c r="F307" i="20" s="1"/>
  <c r="D734" i="13"/>
  <c r="E734" i="13" s="1"/>
  <c r="F734" i="13" s="1"/>
  <c r="G733" i="13"/>
  <c r="D216" i="20"/>
  <c r="E216" i="20" s="1"/>
  <c r="F216" i="20" s="1"/>
  <c r="D1655" i="20"/>
  <c r="E1655" i="20" s="1"/>
  <c r="F1655" i="20" s="1"/>
  <c r="D1656" i="20" s="1"/>
  <c r="D756" i="20"/>
  <c r="E756" i="20" s="1"/>
  <c r="F756" i="20" s="1"/>
  <c r="G817" i="13"/>
  <c r="E125" i="20"/>
  <c r="F125" i="20" s="1"/>
  <c r="G643" i="13"/>
  <c r="D384" i="13"/>
  <c r="G383" i="13"/>
  <c r="D559" i="13"/>
  <c r="G558" i="13"/>
  <c r="D1119" i="20"/>
  <c r="D941" i="20"/>
  <c r="D1571" i="20"/>
  <c r="D992" i="13"/>
  <c r="G991" i="13"/>
  <c r="D1341" i="13"/>
  <c r="G1340" i="13"/>
  <c r="D1431" i="13"/>
  <c r="G1430" i="13"/>
  <c r="D1079" i="13"/>
  <c r="G1078" i="13"/>
  <c r="D210" i="13"/>
  <c r="G209" i="13"/>
  <c r="D123" i="13"/>
  <c r="G122" i="13"/>
  <c r="D1514" i="13"/>
  <c r="G1513" i="13"/>
  <c r="D1475" i="20"/>
  <c r="D2016" i="20"/>
  <c r="D1928" i="20"/>
  <c r="D1388" i="20"/>
  <c r="D1778" i="13"/>
  <c r="G1777" i="13"/>
  <c r="D297" i="13"/>
  <c r="G296" i="13"/>
  <c r="E1949" i="13"/>
  <c r="F1949" i="13" s="1"/>
  <c r="D1950" i="13" s="1"/>
  <c r="E1167" i="13"/>
  <c r="F1167" i="13" s="1"/>
  <c r="E396" i="20"/>
  <c r="F396" i="20" s="1"/>
  <c r="D397" i="20" s="1"/>
  <c r="E1747" i="20"/>
  <c r="F1747" i="20" s="1"/>
  <c r="E1860" i="13"/>
  <c r="F1860" i="13" s="1"/>
  <c r="G1255" i="13"/>
  <c r="G1166" i="13"/>
  <c r="E908" i="13"/>
  <c r="F908" i="13" s="1"/>
  <c r="E1204" i="20"/>
  <c r="F1204" i="20" s="1"/>
  <c r="E1833" i="20"/>
  <c r="F1833" i="20" s="1"/>
  <c r="D1834" i="20" s="1"/>
  <c r="A103" i="34"/>
  <c r="B150" i="34"/>
  <c r="E575" i="20"/>
  <c r="F575" i="20" s="1"/>
  <c r="E469" i="13"/>
  <c r="F469" i="13" s="1"/>
  <c r="E1690" i="13"/>
  <c r="F1690" i="13" s="1"/>
  <c r="D1691" i="13" s="1"/>
  <c r="E1256" i="13"/>
  <c r="F1256" i="13" s="1"/>
  <c r="G907" i="13"/>
  <c r="E1601" i="13"/>
  <c r="F1601" i="13" s="1"/>
  <c r="E644" i="13"/>
  <c r="F644" i="13" s="1"/>
  <c r="G468" i="13"/>
  <c r="G1689" i="13"/>
  <c r="E664" i="20"/>
  <c r="F664" i="20" s="1"/>
  <c r="E1297" i="20"/>
  <c r="F1297" i="20" s="1"/>
  <c r="D1298" i="20" s="1"/>
  <c r="E847" i="20"/>
  <c r="F847" i="20" s="1"/>
  <c r="D848" i="20" s="1"/>
  <c r="G1948" i="13"/>
  <c r="B175" i="2"/>
  <c r="D339" i="2"/>
  <c r="E818" i="13"/>
  <c r="F818" i="13" s="1"/>
  <c r="E1025" i="20"/>
  <c r="F1025" i="20" s="1"/>
  <c r="D1748" i="20" l="1"/>
  <c r="E1748" i="20" s="1"/>
  <c r="F1748" i="20" s="1"/>
  <c r="D126" i="20"/>
  <c r="D1257" i="13"/>
  <c r="E1257" i="13" s="1"/>
  <c r="F1257" i="13" s="1"/>
  <c r="G1256" i="13"/>
  <c r="D757" i="20"/>
  <c r="E757" i="20" s="1"/>
  <c r="F757" i="20" s="1"/>
  <c r="D758" i="20" s="1"/>
  <c r="D1602" i="13"/>
  <c r="G1601" i="13"/>
  <c r="D665" i="20"/>
  <c r="D735" i="13"/>
  <c r="G734" i="13"/>
  <c r="D576" i="20"/>
  <c r="D470" i="13"/>
  <c r="G469" i="13"/>
  <c r="D1026" i="20"/>
  <c r="D1205" i="20"/>
  <c r="D1168" i="13"/>
  <c r="G1167" i="13"/>
  <c r="D819" i="13"/>
  <c r="G818" i="13"/>
  <c r="D217" i="20"/>
  <c r="D308" i="20"/>
  <c r="D909" i="13"/>
  <c r="G908" i="13"/>
  <c r="D645" i="13"/>
  <c r="G644" i="13"/>
  <c r="D487" i="20"/>
  <c r="D1861" i="13"/>
  <c r="G1860" i="13"/>
  <c r="E1834" i="20"/>
  <c r="F1834" i="20" s="1"/>
  <c r="B100" i="34"/>
  <c r="A106" i="34"/>
  <c r="A107" i="34" s="1"/>
  <c r="A108" i="34" s="1"/>
  <c r="A109" i="34" s="1"/>
  <c r="A110" i="34" s="1"/>
  <c r="A111" i="34" s="1"/>
  <c r="A112" i="34" s="1"/>
  <c r="E1778" i="13"/>
  <c r="F1778" i="13" s="1"/>
  <c r="D1779" i="13" s="1"/>
  <c r="E123" i="13"/>
  <c r="F123" i="13" s="1"/>
  <c r="E1341" i="13"/>
  <c r="F1341" i="13" s="1"/>
  <c r="E941" i="20"/>
  <c r="F941" i="20" s="1"/>
  <c r="E1298" i="20"/>
  <c r="F1298" i="20" s="1"/>
  <c r="E1656" i="20"/>
  <c r="F1656" i="20" s="1"/>
  <c r="E2016" i="20"/>
  <c r="F2016" i="20" s="1"/>
  <c r="E1950" i="13"/>
  <c r="F1950" i="13" s="1"/>
  <c r="E384" i="13"/>
  <c r="F384" i="13" s="1"/>
  <c r="E210" i="13"/>
  <c r="F210" i="13" s="1"/>
  <c r="D211" i="13" s="1"/>
  <c r="E992" i="13"/>
  <c r="F992" i="13" s="1"/>
  <c r="E848" i="20"/>
  <c r="F848" i="20" s="1"/>
  <c r="B176" i="2"/>
  <c r="E179" i="2"/>
  <c r="G1690" i="13"/>
  <c r="E1388" i="20"/>
  <c r="F1388" i="20" s="1"/>
  <c r="E1119" i="20"/>
  <c r="F1119" i="20" s="1"/>
  <c r="D1120" i="20" s="1"/>
  <c r="E397" i="20"/>
  <c r="F397" i="20" s="1"/>
  <c r="D398" i="20" s="1"/>
  <c r="E1571" i="20"/>
  <c r="F1571" i="20" s="1"/>
  <c r="D1572" i="20" s="1"/>
  <c r="E559" i="13"/>
  <c r="F559" i="13" s="1"/>
  <c r="D560" i="13" s="1"/>
  <c r="E1691" i="13"/>
  <c r="F1691" i="13" s="1"/>
  <c r="E1475" i="20"/>
  <c r="F1475" i="20" s="1"/>
  <c r="D1476" i="20" s="1"/>
  <c r="E1079" i="13"/>
  <c r="F1079" i="13" s="1"/>
  <c r="G1949" i="13"/>
  <c r="E297" i="13"/>
  <c r="F297" i="13" s="1"/>
  <c r="E1928" i="20"/>
  <c r="F1928" i="20" s="1"/>
  <c r="E1514" i="13"/>
  <c r="F1514" i="13" s="1"/>
  <c r="D1515" i="13" s="1"/>
  <c r="E1431" i="13"/>
  <c r="F1431" i="13" s="1"/>
  <c r="D1929" i="20" l="1"/>
  <c r="E1929" i="20" s="1"/>
  <c r="F1929" i="20" s="1"/>
  <c r="D385" i="13"/>
  <c r="E385" i="13" s="1"/>
  <c r="F385" i="13" s="1"/>
  <c r="G384" i="13"/>
  <c r="D1692" i="13"/>
  <c r="E1692" i="13" s="1"/>
  <c r="F1692" i="13" s="1"/>
  <c r="G1691" i="13"/>
  <c r="D298" i="13"/>
  <c r="E298" i="13" s="1"/>
  <c r="F298" i="13" s="1"/>
  <c r="D299" i="13" s="1"/>
  <c r="G297" i="13"/>
  <c r="D124" i="13"/>
  <c r="E124" i="13" s="1"/>
  <c r="F124" i="13" s="1"/>
  <c r="D125" i="13" s="1"/>
  <c r="G123" i="13"/>
  <c r="E126" i="20"/>
  <c r="F126" i="20" s="1"/>
  <c r="D127" i="20" s="1"/>
  <c r="E127" i="20" s="1"/>
  <c r="F127" i="20" s="1"/>
  <c r="D128" i="20" s="1"/>
  <c r="D849" i="20"/>
  <c r="D942" i="20"/>
  <c r="D1080" i="13"/>
  <c r="G1079" i="13"/>
  <c r="D1657" i="20"/>
  <c r="D1342" i="13"/>
  <c r="G1341" i="13"/>
  <c r="D1258" i="13"/>
  <c r="G1257" i="13"/>
  <c r="D2017" i="20"/>
  <c r="D1389" i="20"/>
  <c r="D1951" i="13"/>
  <c r="G1950" i="13"/>
  <c r="D1835" i="20"/>
  <c r="D1299" i="20"/>
  <c r="D993" i="13"/>
  <c r="G992" i="13"/>
  <c r="D1749" i="20"/>
  <c r="D1432" i="13"/>
  <c r="G1431" i="13"/>
  <c r="E1476" i="20"/>
  <c r="F1476" i="20" s="1"/>
  <c r="E1120" i="20"/>
  <c r="F1120" i="20" s="1"/>
  <c r="E1779" i="13"/>
  <c r="F1779" i="13" s="1"/>
  <c r="E1205" i="20"/>
  <c r="F1205" i="20" s="1"/>
  <c r="E576" i="20"/>
  <c r="F576" i="20" s="1"/>
  <c r="E211" i="13"/>
  <c r="F211" i="13" s="1"/>
  <c r="G210" i="13"/>
  <c r="B177" i="2"/>
  <c r="E180" i="2"/>
  <c r="E758" i="20"/>
  <c r="F758" i="20" s="1"/>
  <c r="G1778" i="13"/>
  <c r="E645" i="13"/>
  <c r="F645" i="13" s="1"/>
  <c r="E217" i="20"/>
  <c r="F217" i="20" s="1"/>
  <c r="G559" i="13"/>
  <c r="E735" i="13"/>
  <c r="F735" i="13" s="1"/>
  <c r="D736" i="13" s="1"/>
  <c r="E398" i="20"/>
  <c r="F398" i="20" s="1"/>
  <c r="D399" i="20" s="1"/>
  <c r="E1602" i="13"/>
  <c r="F1602" i="13" s="1"/>
  <c r="E560" i="13"/>
  <c r="F560" i="13" s="1"/>
  <c r="D561" i="13" s="1"/>
  <c r="E909" i="13"/>
  <c r="F909" i="13" s="1"/>
  <c r="E819" i="13"/>
  <c r="F819" i="13" s="1"/>
  <c r="E1026" i="20"/>
  <c r="F1026" i="20" s="1"/>
  <c r="D1027" i="20" s="1"/>
  <c r="E487" i="20"/>
  <c r="F487" i="20" s="1"/>
  <c r="G1514" i="13"/>
  <c r="A115" i="34"/>
  <c r="B166" i="34"/>
  <c r="E1861" i="13"/>
  <c r="F1861" i="13" s="1"/>
  <c r="D1862" i="13" s="1"/>
  <c r="E1515" i="13"/>
  <c r="F1515" i="13" s="1"/>
  <c r="E1572" i="20"/>
  <c r="F1572" i="20" s="1"/>
  <c r="E1168" i="13"/>
  <c r="F1168" i="13" s="1"/>
  <c r="E470" i="13"/>
  <c r="F470" i="13" s="1"/>
  <c r="E665" i="20"/>
  <c r="F665" i="20" s="1"/>
  <c r="E308" i="20"/>
  <c r="F308" i="20" s="1"/>
  <c r="D488" i="20" l="1"/>
  <c r="E488" i="20" s="1"/>
  <c r="F488" i="20" s="1"/>
  <c r="D309" i="20"/>
  <c r="E309" i="20" s="1"/>
  <c r="D1603" i="13"/>
  <c r="E1603" i="13" s="1"/>
  <c r="F1603" i="13" s="1"/>
  <c r="D1604" i="13" s="1"/>
  <c r="G1602" i="13"/>
  <c r="D471" i="13"/>
  <c r="E471" i="13" s="1"/>
  <c r="F471" i="13" s="1"/>
  <c r="G470" i="13"/>
  <c r="D1573" i="20"/>
  <c r="E1573" i="20" s="1"/>
  <c r="F1573" i="20" s="1"/>
  <c r="D1574" i="20" s="1"/>
  <c r="D577" i="20"/>
  <c r="E577" i="20" s="1"/>
  <c r="F577" i="20" s="1"/>
  <c r="G298" i="13"/>
  <c r="D1693" i="13"/>
  <c r="G1692" i="13"/>
  <c r="D212" i="13"/>
  <c r="G211" i="13"/>
  <c r="D1930" i="20"/>
  <c r="D386" i="13"/>
  <c r="G385" i="13"/>
  <c r="D820" i="13"/>
  <c r="G819" i="13"/>
  <c r="D1780" i="13"/>
  <c r="G1779" i="13"/>
  <c r="D666" i="20"/>
  <c r="D759" i="20"/>
  <c r="D910" i="13"/>
  <c r="G909" i="13"/>
  <c r="D646" i="13"/>
  <c r="G645" i="13"/>
  <c r="D1516" i="13"/>
  <c r="G1515" i="13"/>
  <c r="D1169" i="13"/>
  <c r="G1168" i="13"/>
  <c r="D1121" i="20"/>
  <c r="D1477" i="20"/>
  <c r="D218" i="20"/>
  <c r="D1206" i="20"/>
  <c r="E561" i="13"/>
  <c r="F561" i="13" s="1"/>
  <c r="E125" i="13"/>
  <c r="F125" i="13" s="1"/>
  <c r="E993" i="13"/>
  <c r="F993" i="13" s="1"/>
  <c r="E1951" i="13"/>
  <c r="F1951" i="13" s="1"/>
  <c r="D1952" i="13" s="1"/>
  <c r="E1258" i="13"/>
  <c r="F1258" i="13" s="1"/>
  <c r="E1657" i="20"/>
  <c r="F1657" i="20" s="1"/>
  <c r="E849" i="20"/>
  <c r="F849" i="20" s="1"/>
  <c r="D850" i="20" s="1"/>
  <c r="A116" i="34"/>
  <c r="E299" i="13"/>
  <c r="F299" i="13" s="1"/>
  <c r="D300" i="13" s="1"/>
  <c r="E1080" i="13"/>
  <c r="F1080" i="13" s="1"/>
  <c r="D1081" i="13" s="1"/>
  <c r="G735" i="13"/>
  <c r="E1432" i="13"/>
  <c r="F1432" i="13" s="1"/>
  <c r="D1433" i="13" s="1"/>
  <c r="E1299" i="20"/>
  <c r="F1299" i="20" s="1"/>
  <c r="E1389" i="20"/>
  <c r="F1389" i="20" s="1"/>
  <c r="D1390" i="20" s="1"/>
  <c r="E128" i="20"/>
  <c r="F128" i="20" s="1"/>
  <c r="B178" i="2"/>
  <c r="B179" i="2" s="1"/>
  <c r="B180" i="2" s="1"/>
  <c r="B181" i="2" s="1"/>
  <c r="E1342" i="13"/>
  <c r="F1342" i="13" s="1"/>
  <c r="D1343" i="13" s="1"/>
  <c r="G1861" i="13"/>
  <c r="G560" i="13"/>
  <c r="G124" i="13"/>
  <c r="E1749" i="20"/>
  <c r="F1749" i="20" s="1"/>
  <c r="D1750" i="20" s="1"/>
  <c r="E1835" i="20"/>
  <c r="F1835" i="20" s="1"/>
  <c r="E2017" i="20"/>
  <c r="F2017" i="20" s="1"/>
  <c r="D2018" i="20" s="1"/>
  <c r="E1862" i="13"/>
  <c r="F1862" i="13" s="1"/>
  <c r="D1863" i="13" s="1"/>
  <c r="E1027" i="20"/>
  <c r="F1027" i="20" s="1"/>
  <c r="E736" i="13"/>
  <c r="F736" i="13" s="1"/>
  <c r="D737" i="13" s="1"/>
  <c r="E942" i="20"/>
  <c r="F942" i="20" s="1"/>
  <c r="E399" i="20"/>
  <c r="F399" i="20" s="1"/>
  <c r="E181" i="2" l="1"/>
  <c r="D129" i="20"/>
  <c r="E129" i="20" s="1"/>
  <c r="F129" i="20" s="1"/>
  <c r="F309" i="20"/>
  <c r="D310" i="20" s="1"/>
  <c r="E310" i="20" s="1"/>
  <c r="G1862" i="13"/>
  <c r="G736" i="13"/>
  <c r="D1300" i="20"/>
  <c r="D562" i="13"/>
  <c r="G561" i="13"/>
  <c r="D472" i="13"/>
  <c r="G471" i="13"/>
  <c r="D1658" i="20"/>
  <c r="D1259" i="13"/>
  <c r="G1258" i="13"/>
  <c r="D400" i="20"/>
  <c r="D943" i="20"/>
  <c r="D1836" i="20"/>
  <c r="D489" i="20"/>
  <c r="D994" i="13"/>
  <c r="G993" i="13"/>
  <c r="D1028" i="20"/>
  <c r="D578" i="20"/>
  <c r="D126" i="13"/>
  <c r="G125" i="13"/>
  <c r="E1433" i="13"/>
  <c r="F1433" i="13" s="1"/>
  <c r="D1434" i="13" s="1"/>
  <c r="E820" i="13"/>
  <c r="F820" i="13" s="1"/>
  <c r="D821" i="13" s="1"/>
  <c r="E1574" i="20"/>
  <c r="F1574" i="20" s="1"/>
  <c r="D1575" i="20" s="1"/>
  <c r="G1603" i="13"/>
  <c r="E1516" i="13"/>
  <c r="F1516" i="13" s="1"/>
  <c r="D1517" i="13" s="1"/>
  <c r="E386" i="13"/>
  <c r="F386" i="13" s="1"/>
  <c r="E1750" i="20"/>
  <c r="F1750" i="20" s="1"/>
  <c r="D1751" i="20" s="1"/>
  <c r="E1390" i="20"/>
  <c r="F1390" i="20" s="1"/>
  <c r="A117" i="34"/>
  <c r="A118" i="34" s="1"/>
  <c r="E1169" i="13"/>
  <c r="F1169" i="13" s="1"/>
  <c r="D1170" i="13" s="1"/>
  <c r="E1343" i="13"/>
  <c r="F1343" i="13" s="1"/>
  <c r="D1344" i="13" s="1"/>
  <c r="E1081" i="13"/>
  <c r="F1081" i="13" s="1"/>
  <c r="D1082" i="13" s="1"/>
  <c r="E1477" i="20"/>
  <c r="F1477" i="20" s="1"/>
  <c r="E910" i="13"/>
  <c r="F910" i="13" s="1"/>
  <c r="G1342" i="13"/>
  <c r="G1432" i="13"/>
  <c r="G299" i="13"/>
  <c r="E646" i="13"/>
  <c r="F646" i="13" s="1"/>
  <c r="E666" i="20"/>
  <c r="F666" i="20" s="1"/>
  <c r="D667" i="20" s="1"/>
  <c r="E2018" i="20"/>
  <c r="F2018" i="20" s="1"/>
  <c r="E850" i="20"/>
  <c r="F850" i="20" s="1"/>
  <c r="E1780" i="13"/>
  <c r="F1780" i="13" s="1"/>
  <c r="E1863" i="13"/>
  <c r="F1863" i="13" s="1"/>
  <c r="E737" i="13"/>
  <c r="F737" i="13" s="1"/>
  <c r="G1080" i="13"/>
  <c r="E1206" i="20"/>
  <c r="F1206" i="20" s="1"/>
  <c r="E1930" i="20"/>
  <c r="F1930" i="20" s="1"/>
  <c r="C50" i="13"/>
  <c r="B183" i="2"/>
  <c r="E34" i="2" s="1"/>
  <c r="C50" i="20"/>
  <c r="E212" i="13"/>
  <c r="F212" i="13" s="1"/>
  <c r="E300" i="13"/>
  <c r="F300" i="13" s="1"/>
  <c r="D301" i="13" s="1"/>
  <c r="E1121" i="20"/>
  <c r="F1121" i="20" s="1"/>
  <c r="E1952" i="13"/>
  <c r="F1952" i="13" s="1"/>
  <c r="E218" i="20"/>
  <c r="F218" i="20" s="1"/>
  <c r="E1604" i="13"/>
  <c r="F1604" i="13" s="1"/>
  <c r="G1951" i="13"/>
  <c r="E759" i="20"/>
  <c r="F759" i="20" s="1"/>
  <c r="E1693" i="13"/>
  <c r="F1693" i="13" s="1"/>
  <c r="F310" i="20" l="1"/>
  <c r="D311" i="20" s="1"/>
  <c r="E311" i="20" s="1"/>
  <c r="F311" i="20" s="1"/>
  <c r="D760" i="20"/>
  <c r="E760" i="20" s="1"/>
  <c r="F760" i="20" s="1"/>
  <c r="D761" i="20" s="1"/>
  <c r="G1516" i="13"/>
  <c r="D130" i="20"/>
  <c r="E130" i="20" s="1"/>
  <c r="F130" i="20" s="1"/>
  <c r="D131" i="20" s="1"/>
  <c r="G1081" i="13"/>
  <c r="B118" i="34"/>
  <c r="D738" i="13"/>
  <c r="G737" i="13"/>
  <c r="D1781" i="13"/>
  <c r="G1780" i="13"/>
  <c r="D1864" i="13"/>
  <c r="G1863" i="13"/>
  <c r="D851" i="20"/>
  <c r="D1694" i="13"/>
  <c r="G1693" i="13"/>
  <c r="D2019" i="20"/>
  <c r="D1391" i="20"/>
  <c r="D1122" i="20"/>
  <c r="D1605" i="13"/>
  <c r="G1604" i="13"/>
  <c r="D213" i="13"/>
  <c r="G212" i="13"/>
  <c r="D1931" i="20"/>
  <c r="D1953" i="13"/>
  <c r="G1952" i="13"/>
  <c r="D1207" i="20"/>
  <c r="D911" i="13"/>
  <c r="G910" i="13"/>
  <c r="D1478" i="20"/>
  <c r="D219" i="20"/>
  <c r="D647" i="13"/>
  <c r="G646" i="13"/>
  <c r="D387" i="13"/>
  <c r="G386" i="13"/>
  <c r="E1344" i="13"/>
  <c r="F1344" i="13" s="1"/>
  <c r="E1751" i="20"/>
  <c r="F1751" i="20" s="1"/>
  <c r="E126" i="13"/>
  <c r="F126" i="13" s="1"/>
  <c r="D127" i="13" s="1"/>
  <c r="E994" i="13"/>
  <c r="F994" i="13" s="1"/>
  <c r="E1300" i="20"/>
  <c r="F1300" i="20" s="1"/>
  <c r="A119" i="34"/>
  <c r="B119" i="34"/>
  <c r="G820" i="13"/>
  <c r="E943" i="20"/>
  <c r="F943" i="20" s="1"/>
  <c r="E1658" i="20"/>
  <c r="F1658" i="20" s="1"/>
  <c r="E667" i="20"/>
  <c r="F667" i="20" s="1"/>
  <c r="E578" i="20"/>
  <c r="F578" i="20" s="1"/>
  <c r="E489" i="20"/>
  <c r="F489" i="20" s="1"/>
  <c r="E472" i="13"/>
  <c r="F472" i="13" s="1"/>
  <c r="E1170" i="13"/>
  <c r="F1170" i="13" s="1"/>
  <c r="G1433" i="13"/>
  <c r="E400" i="20"/>
  <c r="F400" i="20" s="1"/>
  <c r="D401" i="20" s="1"/>
  <c r="E821" i="13"/>
  <c r="F821" i="13" s="1"/>
  <c r="G300" i="13"/>
  <c r="C49" i="13"/>
  <c r="C49" i="20"/>
  <c r="B185" i="2"/>
  <c r="E177" i="2"/>
  <c r="E1082" i="13"/>
  <c r="F1082" i="13" s="1"/>
  <c r="E1517" i="13"/>
  <c r="F1517" i="13" s="1"/>
  <c r="D1518" i="13" s="1"/>
  <c r="E1575" i="20"/>
  <c r="F1575" i="20" s="1"/>
  <c r="E1434" i="13"/>
  <c r="F1434" i="13" s="1"/>
  <c r="E562" i="13"/>
  <c r="F562" i="13" s="1"/>
  <c r="E301" i="13"/>
  <c r="F301" i="13" s="1"/>
  <c r="G1343" i="13"/>
  <c r="G1169" i="13"/>
  <c r="E1028" i="20"/>
  <c r="F1028" i="20" s="1"/>
  <c r="E1836" i="20"/>
  <c r="F1836" i="20" s="1"/>
  <c r="E1259" i="13"/>
  <c r="F1259" i="13" s="1"/>
  <c r="D490" i="20" l="1"/>
  <c r="E490" i="20" s="1"/>
  <c r="D944" i="20"/>
  <c r="E944" i="20" s="1"/>
  <c r="F944" i="20" s="1"/>
  <c r="D1837" i="20"/>
  <c r="E1837" i="20" s="1"/>
  <c r="F1837" i="20" s="1"/>
  <c r="D1301" i="20"/>
  <c r="E1301" i="20" s="1"/>
  <c r="F1301" i="20" s="1"/>
  <c r="D1260" i="13"/>
  <c r="G1259" i="13"/>
  <c r="D668" i="20"/>
  <c r="D1752" i="20"/>
  <c r="D822" i="13"/>
  <c r="G821" i="13"/>
  <c r="D1659" i="20"/>
  <c r="D1345" i="13"/>
  <c r="G1344" i="13"/>
  <c r="D563" i="13"/>
  <c r="G562" i="13"/>
  <c r="D1083" i="13"/>
  <c r="G1082" i="13"/>
  <c r="D1171" i="13"/>
  <c r="G1170" i="13"/>
  <c r="D302" i="13"/>
  <c r="G301" i="13"/>
  <c r="D473" i="13"/>
  <c r="G472" i="13"/>
  <c r="D579" i="20"/>
  <c r="D1029" i="20"/>
  <c r="D1435" i="13"/>
  <c r="G1434" i="13"/>
  <c r="D995" i="13"/>
  <c r="G994" i="13"/>
  <c r="D312" i="20"/>
  <c r="D1576" i="20"/>
  <c r="E1518" i="13"/>
  <c r="F1518" i="13" s="1"/>
  <c r="D1519" i="13" s="1"/>
  <c r="E401" i="20"/>
  <c r="F401" i="20" s="1"/>
  <c r="E131" i="20"/>
  <c r="F131" i="20" s="1"/>
  <c r="E647" i="13"/>
  <c r="F647" i="13" s="1"/>
  <c r="E911" i="13"/>
  <c r="F911" i="13" s="1"/>
  <c r="E1931" i="20"/>
  <c r="F1931" i="20" s="1"/>
  <c r="E738" i="13"/>
  <c r="F738" i="13" s="1"/>
  <c r="D303" i="2"/>
  <c r="B187" i="2"/>
  <c r="G1517" i="13"/>
  <c r="G126" i="13"/>
  <c r="E219" i="20"/>
  <c r="F219" i="20" s="1"/>
  <c r="E1207" i="20"/>
  <c r="F1207" i="20" s="1"/>
  <c r="D1208" i="20" s="1"/>
  <c r="E127" i="13"/>
  <c r="F127" i="13" s="1"/>
  <c r="E213" i="13"/>
  <c r="F213" i="13" s="1"/>
  <c r="D214" i="13" s="1"/>
  <c r="E851" i="20"/>
  <c r="F851" i="20" s="1"/>
  <c r="E1605" i="13"/>
  <c r="F1605" i="13" s="1"/>
  <c r="D1606" i="13" s="1"/>
  <c r="E1864" i="13"/>
  <c r="F1864" i="13" s="1"/>
  <c r="E1391" i="20"/>
  <c r="F1391" i="20" s="1"/>
  <c r="A121" i="34"/>
  <c r="E1953" i="13"/>
  <c r="F1953" i="13" s="1"/>
  <c r="E2019" i="20"/>
  <c r="F2019" i="20" s="1"/>
  <c r="D2020" i="20" s="1"/>
  <c r="E761" i="20"/>
  <c r="F761" i="20" s="1"/>
  <c r="D762" i="20" s="1"/>
  <c r="E387" i="13"/>
  <c r="F387" i="13" s="1"/>
  <c r="E1478" i="20"/>
  <c r="F1478" i="20" s="1"/>
  <c r="E1781" i="13"/>
  <c r="F1781" i="13" s="1"/>
  <c r="D1782" i="13" s="1"/>
  <c r="E1122" i="20"/>
  <c r="F1122" i="20" s="1"/>
  <c r="E1694" i="13"/>
  <c r="F1694" i="13" s="1"/>
  <c r="F490" i="20" l="1"/>
  <c r="D491" i="20" s="1"/>
  <c r="E491" i="20" s="1"/>
  <c r="F491" i="20" s="1"/>
  <c r="D128" i="13"/>
  <c r="E128" i="13" s="1"/>
  <c r="F128" i="13" s="1"/>
  <c r="D129" i="13" s="1"/>
  <c r="G127" i="13"/>
  <c r="D945" i="20"/>
  <c r="E945" i="20" s="1"/>
  <c r="F945" i="20" s="1"/>
  <c r="D1932" i="20"/>
  <c r="E1932" i="20" s="1"/>
  <c r="F1932" i="20" s="1"/>
  <c r="D1838" i="20"/>
  <c r="E1838" i="20" s="1"/>
  <c r="F1838" i="20" s="1"/>
  <c r="D1392" i="20"/>
  <c r="E1392" i="20" s="1"/>
  <c r="F1392" i="20" s="1"/>
  <c r="D1954" i="13"/>
  <c r="E1954" i="13" s="1"/>
  <c r="F1954" i="13" s="1"/>
  <c r="D1955" i="13" s="1"/>
  <c r="G1953" i="13"/>
  <c r="D1302" i="20"/>
  <c r="E1302" i="20" s="1"/>
  <c r="F1302" i="20" s="1"/>
  <c r="D739" i="13"/>
  <c r="E739" i="13" s="1"/>
  <c r="F739" i="13" s="1"/>
  <c r="D740" i="13" s="1"/>
  <c r="G738" i="13"/>
  <c r="D388" i="13"/>
  <c r="G387" i="13"/>
  <c r="D648" i="13"/>
  <c r="G647" i="13"/>
  <c r="D852" i="20"/>
  <c r="D220" i="20"/>
  <c r="D132" i="20"/>
  <c r="D912" i="13"/>
  <c r="G911" i="13"/>
  <c r="D1695" i="13"/>
  <c r="G1694" i="13"/>
  <c r="D402" i="20"/>
  <c r="D1123" i="20"/>
  <c r="D1865" i="13"/>
  <c r="G1864" i="13"/>
  <c r="D1479" i="20"/>
  <c r="E1606" i="13"/>
  <c r="F1606" i="13" s="1"/>
  <c r="D1607" i="13" s="1"/>
  <c r="E1659" i="20"/>
  <c r="F1659" i="20" s="1"/>
  <c r="E1435" i="13"/>
  <c r="F1435" i="13" s="1"/>
  <c r="D1436" i="13" s="1"/>
  <c r="E473" i="13"/>
  <c r="F473" i="13" s="1"/>
  <c r="E563" i="13"/>
  <c r="F563" i="13" s="1"/>
  <c r="E2020" i="20"/>
  <c r="F2020" i="20" s="1"/>
  <c r="D2021" i="20" s="1"/>
  <c r="E1576" i="20"/>
  <c r="F1576" i="20" s="1"/>
  <c r="D1577" i="20" s="1"/>
  <c r="A122" i="34"/>
  <c r="E302" i="13"/>
  <c r="F302" i="13" s="1"/>
  <c r="D303" i="13" s="1"/>
  <c r="E1345" i="13"/>
  <c r="F1345" i="13" s="1"/>
  <c r="E1752" i="20"/>
  <c r="F1752" i="20" s="1"/>
  <c r="G1605" i="13"/>
  <c r="E1029" i="20"/>
  <c r="F1029" i="20" s="1"/>
  <c r="D1030" i="20" s="1"/>
  <c r="E1782" i="13"/>
  <c r="F1782" i="13" s="1"/>
  <c r="D1783" i="13" s="1"/>
  <c r="E762" i="20"/>
  <c r="F762" i="20" s="1"/>
  <c r="D763" i="20" s="1"/>
  <c r="E1208" i="20"/>
  <c r="F1208" i="20" s="1"/>
  <c r="D1209" i="20" s="1"/>
  <c r="G1781" i="13"/>
  <c r="G213" i="13"/>
  <c r="E312" i="20"/>
  <c r="F312" i="20" s="1"/>
  <c r="E1171" i="13"/>
  <c r="F1171" i="13" s="1"/>
  <c r="E214" i="13"/>
  <c r="F214" i="13" s="1"/>
  <c r="E1519" i="13"/>
  <c r="F1519" i="13" s="1"/>
  <c r="D1520" i="13" s="1"/>
  <c r="E668" i="20"/>
  <c r="F668" i="20" s="1"/>
  <c r="G1518" i="13"/>
  <c r="E995" i="13"/>
  <c r="F995" i="13" s="1"/>
  <c r="D996" i="13" s="1"/>
  <c r="E579" i="20"/>
  <c r="F579" i="20" s="1"/>
  <c r="E1083" i="13"/>
  <c r="F1083" i="13" s="1"/>
  <c r="D189" i="2"/>
  <c r="B189" i="2"/>
  <c r="E822" i="13"/>
  <c r="F822" i="13" s="1"/>
  <c r="E1260" i="13"/>
  <c r="F1260" i="13" s="1"/>
  <c r="D492" i="20" l="1"/>
  <c r="E492" i="20" s="1"/>
  <c r="F492" i="20" s="1"/>
  <c r="D946" i="20"/>
  <c r="E946" i="20" s="1"/>
  <c r="F946" i="20" s="1"/>
  <c r="G1782" i="13"/>
  <c r="G1519" i="13"/>
  <c r="G1606" i="13"/>
  <c r="D1753" i="20"/>
  <c r="D1393" i="20"/>
  <c r="D1084" i="13"/>
  <c r="G1083" i="13"/>
  <c r="D564" i="13"/>
  <c r="G563" i="13"/>
  <c r="D1346" i="13"/>
  <c r="G1345" i="13"/>
  <c r="D580" i="20"/>
  <c r="D669" i="20"/>
  <c r="D215" i="13"/>
  <c r="G214" i="13"/>
  <c r="D474" i="13"/>
  <c r="G473" i="13"/>
  <c r="D1172" i="13"/>
  <c r="G1171" i="13"/>
  <c r="D1839" i="20"/>
  <c r="D1261" i="13"/>
  <c r="G1260" i="13"/>
  <c r="D1933" i="20"/>
  <c r="D1660" i="20"/>
  <c r="D823" i="13"/>
  <c r="G822" i="13"/>
  <c r="D1303" i="20"/>
  <c r="D313" i="20"/>
  <c r="E1783" i="13"/>
  <c r="F1783" i="13" s="1"/>
  <c r="E1865" i="13"/>
  <c r="F1865" i="13" s="1"/>
  <c r="E1695" i="13"/>
  <c r="F1695" i="13" s="1"/>
  <c r="D1696" i="13" s="1"/>
  <c r="E220" i="20"/>
  <c r="F220" i="20" s="1"/>
  <c r="E912" i="13"/>
  <c r="F912" i="13" s="1"/>
  <c r="D913" i="13" s="1"/>
  <c r="E996" i="13"/>
  <c r="F996" i="13" s="1"/>
  <c r="E1209" i="20"/>
  <c r="F1209" i="20" s="1"/>
  <c r="E1123" i="20"/>
  <c r="F1123" i="20" s="1"/>
  <c r="E852" i="20"/>
  <c r="F852" i="20" s="1"/>
  <c r="D853" i="20" s="1"/>
  <c r="G995" i="13"/>
  <c r="G1954" i="13"/>
  <c r="G128" i="13"/>
  <c r="A123" i="34"/>
  <c r="A124" i="34" s="1"/>
  <c r="E1955" i="13"/>
  <c r="F1955" i="13" s="1"/>
  <c r="E129" i="13"/>
  <c r="F129" i="13" s="1"/>
  <c r="E132" i="20"/>
  <c r="F132" i="20" s="1"/>
  <c r="E648" i="13"/>
  <c r="F648" i="13" s="1"/>
  <c r="D649" i="13" s="1"/>
  <c r="E1577" i="20"/>
  <c r="F1577" i="20" s="1"/>
  <c r="E1436" i="13"/>
  <c r="F1436" i="13" s="1"/>
  <c r="D1437" i="13" s="1"/>
  <c r="E303" i="13"/>
  <c r="F303" i="13" s="1"/>
  <c r="D304" i="13" s="1"/>
  <c r="B191" i="2"/>
  <c r="D192" i="2"/>
  <c r="G739" i="13"/>
  <c r="E1479" i="20"/>
  <c r="F1479" i="20" s="1"/>
  <c r="E402" i="20"/>
  <c r="F402" i="20" s="1"/>
  <c r="E740" i="13"/>
  <c r="F740" i="13" s="1"/>
  <c r="E1520" i="13"/>
  <c r="F1520" i="13" s="1"/>
  <c r="E763" i="20"/>
  <c r="F763" i="20" s="1"/>
  <c r="E1030" i="20"/>
  <c r="F1030" i="20" s="1"/>
  <c r="D1031" i="20" s="1"/>
  <c r="G302" i="13"/>
  <c r="E2021" i="20"/>
  <c r="F2021" i="20" s="1"/>
  <c r="G1435" i="13"/>
  <c r="E1607" i="13"/>
  <c r="F1607" i="13" s="1"/>
  <c r="D1608" i="13" s="1"/>
  <c r="E388" i="13"/>
  <c r="F388" i="13" s="1"/>
  <c r="B124" i="34" l="1"/>
  <c r="D403" i="20"/>
  <c r="E403" i="20" s="1"/>
  <c r="F403" i="20" s="1"/>
  <c r="D404" i="20" s="1"/>
  <c r="D1210" i="20"/>
  <c r="E1210" i="20" s="1"/>
  <c r="F1210" i="20" s="1"/>
  <c r="D1480" i="20"/>
  <c r="E1480" i="20" s="1"/>
  <c r="D947" i="20"/>
  <c r="E947" i="20" s="1"/>
  <c r="F947" i="20" s="1"/>
  <c r="G912" i="13"/>
  <c r="D1866" i="13"/>
  <c r="G1865" i="13"/>
  <c r="D1956" i="13"/>
  <c r="G1955" i="13"/>
  <c r="D1521" i="13"/>
  <c r="G1520" i="13"/>
  <c r="D1578" i="20"/>
  <c r="D741" i="13"/>
  <c r="G740" i="13"/>
  <c r="D1124" i="20"/>
  <c r="D493" i="20"/>
  <c r="D2022" i="20"/>
  <c r="D221" i="20"/>
  <c r="D1784" i="13"/>
  <c r="G1783" i="13"/>
  <c r="D133" i="20"/>
  <c r="D997" i="13"/>
  <c r="G996" i="13"/>
  <c r="D764" i="20"/>
  <c r="D389" i="13"/>
  <c r="G388" i="13"/>
  <c r="D130" i="13"/>
  <c r="G129" i="13"/>
  <c r="E1031" i="20"/>
  <c r="F1031" i="20" s="1"/>
  <c r="E304" i="13"/>
  <c r="F304" i="13" s="1"/>
  <c r="A125" i="34"/>
  <c r="B125" i="34"/>
  <c r="E669" i="20"/>
  <c r="F669" i="20" s="1"/>
  <c r="E1437" i="13"/>
  <c r="F1437" i="13" s="1"/>
  <c r="E853" i="20"/>
  <c r="F853" i="20" s="1"/>
  <c r="D854" i="20" s="1"/>
  <c r="E913" i="13"/>
  <c r="F913" i="13" s="1"/>
  <c r="D914" i="13" s="1"/>
  <c r="G1695" i="13"/>
  <c r="E1303" i="20"/>
  <c r="F1303" i="20" s="1"/>
  <c r="D1304" i="20" s="1"/>
  <c r="E1933" i="20"/>
  <c r="F1933" i="20" s="1"/>
  <c r="E1172" i="13"/>
  <c r="F1172" i="13" s="1"/>
  <c r="E1084" i="13"/>
  <c r="F1084" i="13" s="1"/>
  <c r="D1085" i="13" s="1"/>
  <c r="E474" i="13"/>
  <c r="F474" i="13" s="1"/>
  <c r="E580" i="20"/>
  <c r="F580" i="20" s="1"/>
  <c r="G1436" i="13"/>
  <c r="G648" i="13"/>
  <c r="E823" i="13"/>
  <c r="F823" i="13" s="1"/>
  <c r="E1261" i="13"/>
  <c r="F1261" i="13" s="1"/>
  <c r="D1262" i="13" s="1"/>
  <c r="E1393" i="20"/>
  <c r="F1393" i="20" s="1"/>
  <c r="E649" i="13"/>
  <c r="F649" i="13" s="1"/>
  <c r="D650" i="13" s="1"/>
  <c r="E215" i="13"/>
  <c r="F215" i="13" s="1"/>
  <c r="E1346" i="13"/>
  <c r="F1346" i="13" s="1"/>
  <c r="E13" i="2"/>
  <c r="B204" i="2"/>
  <c r="G1607" i="13"/>
  <c r="E1696" i="13"/>
  <c r="F1696" i="13" s="1"/>
  <c r="D1697" i="13" s="1"/>
  <c r="E1608" i="13"/>
  <c r="F1608" i="13" s="1"/>
  <c r="G303" i="13"/>
  <c r="E313" i="20"/>
  <c r="F313" i="20" s="1"/>
  <c r="E1660" i="20"/>
  <c r="F1660" i="20" s="1"/>
  <c r="E1839" i="20"/>
  <c r="F1839" i="20" s="1"/>
  <c r="E564" i="13"/>
  <c r="F564" i="13" s="1"/>
  <c r="E1753" i="20"/>
  <c r="F1753" i="20" s="1"/>
  <c r="D1754" i="20" s="1"/>
  <c r="D1394" i="20" l="1"/>
  <c r="E1394" i="20" s="1"/>
  <c r="F1394" i="20" s="1"/>
  <c r="D1395" i="20" s="1"/>
  <c r="D1661" i="20"/>
  <c r="E1661" i="20" s="1"/>
  <c r="F1661" i="20" s="1"/>
  <c r="D1609" i="13"/>
  <c r="E1609" i="13" s="1"/>
  <c r="F1609" i="13" s="1"/>
  <c r="G1608" i="13"/>
  <c r="F1480" i="20"/>
  <c r="D1481" i="20" s="1"/>
  <c r="E1481" i="20" s="1"/>
  <c r="F1481" i="20" s="1"/>
  <c r="D475" i="13"/>
  <c r="G474" i="13"/>
  <c r="D1934" i="20"/>
  <c r="D1438" i="13"/>
  <c r="G1437" i="13"/>
  <c r="D1032" i="20"/>
  <c r="D824" i="13"/>
  <c r="G823" i="13"/>
  <c r="D305" i="13"/>
  <c r="G304" i="13"/>
  <c r="D314" i="20"/>
  <c r="D1840" i="20"/>
  <c r="D565" i="13"/>
  <c r="G564" i="13"/>
  <c r="D216" i="13"/>
  <c r="G215" i="13"/>
  <c r="D1173" i="13"/>
  <c r="G1172" i="13"/>
  <c r="D1347" i="13"/>
  <c r="G1346" i="13"/>
  <c r="D948" i="20"/>
  <c r="D581" i="20"/>
  <c r="D1211" i="20"/>
  <c r="D670" i="20"/>
  <c r="B205" i="2"/>
  <c r="B206" i="2" s="1"/>
  <c r="B207" i="2" s="1"/>
  <c r="E650" i="13"/>
  <c r="F650" i="13" s="1"/>
  <c r="E914" i="13"/>
  <c r="F914" i="13" s="1"/>
  <c r="D915" i="13" s="1"/>
  <c r="E1784" i="13"/>
  <c r="F1784" i="13" s="1"/>
  <c r="G649" i="13"/>
  <c r="E764" i="20"/>
  <c r="F764" i="20" s="1"/>
  <c r="D765" i="20" s="1"/>
  <c r="E493" i="20"/>
  <c r="F493" i="20" s="1"/>
  <c r="E1578" i="20"/>
  <c r="F1578" i="20" s="1"/>
  <c r="E1754" i="20"/>
  <c r="F1754" i="20" s="1"/>
  <c r="E1262" i="13"/>
  <c r="F1262" i="13" s="1"/>
  <c r="E1304" i="20"/>
  <c r="F1304" i="20" s="1"/>
  <c r="E854" i="20"/>
  <c r="F854" i="20" s="1"/>
  <c r="E404" i="20"/>
  <c r="F404" i="20" s="1"/>
  <c r="E997" i="13"/>
  <c r="F997" i="13" s="1"/>
  <c r="E221" i="20"/>
  <c r="F221" i="20" s="1"/>
  <c r="E1521" i="13"/>
  <c r="F1521" i="13" s="1"/>
  <c r="E130" i="13"/>
  <c r="F130" i="13" s="1"/>
  <c r="E1124" i="20"/>
  <c r="F1124" i="20" s="1"/>
  <c r="E1697" i="13"/>
  <c r="F1697" i="13" s="1"/>
  <c r="G1261" i="13"/>
  <c r="E1085" i="13"/>
  <c r="F1085" i="13" s="1"/>
  <c r="A127" i="34"/>
  <c r="E1956" i="13"/>
  <c r="F1956" i="13" s="1"/>
  <c r="D1957" i="13" s="1"/>
  <c r="G1696" i="13"/>
  <c r="G1084" i="13"/>
  <c r="E389" i="13"/>
  <c r="F389" i="13" s="1"/>
  <c r="E133" i="20"/>
  <c r="F133" i="20" s="1"/>
  <c r="E2022" i="20"/>
  <c r="F2022" i="20" s="1"/>
  <c r="E741" i="13"/>
  <c r="F741" i="13" s="1"/>
  <c r="G913" i="13"/>
  <c r="E1866" i="13"/>
  <c r="F1866" i="13" s="1"/>
  <c r="D998" i="13" l="1"/>
  <c r="E998" i="13" s="1"/>
  <c r="F998" i="13" s="1"/>
  <c r="G997" i="13"/>
  <c r="D651" i="13"/>
  <c r="E651" i="13" s="1"/>
  <c r="F651" i="13" s="1"/>
  <c r="D652" i="13" s="1"/>
  <c r="G650" i="13"/>
  <c r="D222" i="20"/>
  <c r="E222" i="20" s="1"/>
  <c r="F222" i="20" s="1"/>
  <c r="D223" i="20" s="1"/>
  <c r="D1482" i="20"/>
  <c r="E1482" i="20" s="1"/>
  <c r="F1482" i="20" s="1"/>
  <c r="D1755" i="20"/>
  <c r="E1755" i="20" s="1"/>
  <c r="F1755" i="20" s="1"/>
  <c r="G914" i="13"/>
  <c r="D855" i="20"/>
  <c r="D494" i="20"/>
  <c r="D742" i="13"/>
  <c r="G741" i="13"/>
  <c r="D1785" i="13"/>
  <c r="G1784" i="13"/>
  <c r="D2023" i="20"/>
  <c r="D134" i="20"/>
  <c r="D1125" i="20"/>
  <c r="D1610" i="13"/>
  <c r="G1609" i="13"/>
  <c r="D1867" i="13"/>
  <c r="G1866" i="13"/>
  <c r="D1263" i="13"/>
  <c r="G1262" i="13"/>
  <c r="D1305" i="20"/>
  <c r="D1086" i="13"/>
  <c r="G1085" i="13"/>
  <c r="D131" i="13"/>
  <c r="G130" i="13"/>
  <c r="D1662" i="20"/>
  <c r="D1698" i="13"/>
  <c r="G1697" i="13"/>
  <c r="D1522" i="13"/>
  <c r="G1521" i="13"/>
  <c r="D390" i="13"/>
  <c r="G389" i="13"/>
  <c r="D405" i="20"/>
  <c r="D1579" i="20"/>
  <c r="G1956" i="13"/>
  <c r="A128" i="34"/>
  <c r="E765" i="20"/>
  <c r="F765" i="20" s="1"/>
  <c r="E581" i="20"/>
  <c r="F581" i="20" s="1"/>
  <c r="D582" i="20" s="1"/>
  <c r="E1032" i="20"/>
  <c r="F1032" i="20" s="1"/>
  <c r="E1957" i="13"/>
  <c r="F1957" i="13" s="1"/>
  <c r="D1958" i="13" s="1"/>
  <c r="E670" i="20"/>
  <c r="F670" i="20" s="1"/>
  <c r="E1438" i="13"/>
  <c r="F1438" i="13" s="1"/>
  <c r="E1395" i="20"/>
  <c r="F1395" i="20" s="1"/>
  <c r="E314" i="20"/>
  <c r="F314" i="20" s="1"/>
  <c r="E948" i="20"/>
  <c r="F948" i="20" s="1"/>
  <c r="E565" i="13"/>
  <c r="F565" i="13" s="1"/>
  <c r="E305" i="13"/>
  <c r="F305" i="13" s="1"/>
  <c r="E915" i="13"/>
  <c r="F915" i="13" s="1"/>
  <c r="E216" i="13"/>
  <c r="F216" i="13" s="1"/>
  <c r="E1211" i="20"/>
  <c r="F1211" i="20" s="1"/>
  <c r="D1212" i="20" s="1"/>
  <c r="E1347" i="13"/>
  <c r="F1347" i="13" s="1"/>
  <c r="D1348" i="13" s="1"/>
  <c r="E824" i="13"/>
  <c r="F824" i="13" s="1"/>
  <c r="D825" i="13" s="1"/>
  <c r="E1934" i="20"/>
  <c r="F1934" i="20" s="1"/>
  <c r="E207" i="2"/>
  <c r="E1840" i="20"/>
  <c r="F1840" i="20" s="1"/>
  <c r="E209" i="2"/>
  <c r="E63" i="2"/>
  <c r="B209" i="2"/>
  <c r="B211" i="2" s="1"/>
  <c r="B212" i="2" s="1"/>
  <c r="B213" i="2" s="1"/>
  <c r="E1173" i="13"/>
  <c r="F1173" i="13" s="1"/>
  <c r="D1174" i="13" s="1"/>
  <c r="E475" i="13"/>
  <c r="F475" i="13" s="1"/>
  <c r="D671" i="20" l="1"/>
  <c r="E671" i="20" s="1"/>
  <c r="F671" i="20" s="1"/>
  <c r="D672" i="20" s="1"/>
  <c r="D315" i="20"/>
  <c r="E315" i="20" s="1"/>
  <c r="F315" i="20" s="1"/>
  <c r="D316" i="20" s="1"/>
  <c r="D306" i="13"/>
  <c r="E306" i="13" s="1"/>
  <c r="F306" i="13" s="1"/>
  <c r="D307" i="13" s="1"/>
  <c r="G305" i="13"/>
  <c r="G651" i="13"/>
  <c r="D1483" i="20"/>
  <c r="D1396" i="20"/>
  <c r="D1439" i="13"/>
  <c r="G1438" i="13"/>
  <c r="D217" i="13"/>
  <c r="G216" i="13"/>
  <c r="D1841" i="20"/>
  <c r="D1935" i="20"/>
  <c r="D999" i="13"/>
  <c r="G998" i="13"/>
  <c r="D916" i="13"/>
  <c r="G915" i="13"/>
  <c r="D766" i="20"/>
  <c r="D566" i="13"/>
  <c r="G565" i="13"/>
  <c r="D1033" i="20"/>
  <c r="D476" i="13"/>
  <c r="G475" i="13"/>
  <c r="D1756" i="20"/>
  <c r="D949" i="20"/>
  <c r="B214" i="2"/>
  <c r="B215" i="2" s="1"/>
  <c r="B216" i="2" s="1"/>
  <c r="B217" i="2" s="1"/>
  <c r="B219" i="2" s="1"/>
  <c r="B222" i="2" s="1"/>
  <c r="B223" i="2" s="1"/>
  <c r="B224" i="2" s="1"/>
  <c r="B225" i="2" s="1"/>
  <c r="B226" i="2" s="1"/>
  <c r="G824" i="13"/>
  <c r="E390" i="13"/>
  <c r="F390" i="13" s="1"/>
  <c r="E1263" i="13"/>
  <c r="F1263" i="13" s="1"/>
  <c r="D1264" i="13" s="1"/>
  <c r="E1522" i="13"/>
  <c r="F1522" i="13" s="1"/>
  <c r="E1867" i="13"/>
  <c r="F1867" i="13" s="1"/>
  <c r="D1868" i="13" s="1"/>
  <c r="E134" i="20"/>
  <c r="F134" i="20" s="1"/>
  <c r="E223" i="20"/>
  <c r="F223" i="20" s="1"/>
  <c r="E1579" i="20"/>
  <c r="F1579" i="20" s="1"/>
  <c r="E1086" i="13"/>
  <c r="F1086" i="13" s="1"/>
  <c r="E1212" i="20"/>
  <c r="F1212" i="20" s="1"/>
  <c r="E1698" i="13"/>
  <c r="F1698" i="13" s="1"/>
  <c r="D1699" i="13" s="1"/>
  <c r="E1610" i="13"/>
  <c r="F1610" i="13" s="1"/>
  <c r="E494" i="20"/>
  <c r="F494" i="20" s="1"/>
  <c r="D495" i="20" s="1"/>
  <c r="E825" i="13"/>
  <c r="F825" i="13" s="1"/>
  <c r="G1347" i="13"/>
  <c r="E1958" i="13"/>
  <c r="F1958" i="13" s="1"/>
  <c r="E2023" i="20"/>
  <c r="F2023" i="20" s="1"/>
  <c r="E742" i="13"/>
  <c r="F742" i="13" s="1"/>
  <c r="D743" i="13" s="1"/>
  <c r="G1957" i="13"/>
  <c r="A129" i="34"/>
  <c r="A130" i="34" s="1"/>
  <c r="E405" i="20"/>
  <c r="F405" i="20" s="1"/>
  <c r="E1305" i="20"/>
  <c r="F1305" i="20" s="1"/>
  <c r="D1306" i="20" s="1"/>
  <c r="E582" i="20"/>
  <c r="F582" i="20" s="1"/>
  <c r="E131" i="13"/>
  <c r="F131" i="13" s="1"/>
  <c r="D132" i="13" s="1"/>
  <c r="E1348" i="13"/>
  <c r="F1348" i="13" s="1"/>
  <c r="E652" i="13"/>
  <c r="F652" i="13" s="1"/>
  <c r="E1174" i="13"/>
  <c r="F1174" i="13" s="1"/>
  <c r="D1175" i="13" s="1"/>
  <c r="G1173" i="13"/>
  <c r="E1662" i="20"/>
  <c r="F1662" i="20" s="1"/>
  <c r="D1663" i="20" s="1"/>
  <c r="E1125" i="20"/>
  <c r="F1125" i="20" s="1"/>
  <c r="E1785" i="13"/>
  <c r="F1785" i="13" s="1"/>
  <c r="E855" i="20"/>
  <c r="F855" i="20" s="1"/>
  <c r="E217" i="2" l="1"/>
  <c r="D826" i="13"/>
  <c r="E826" i="13" s="1"/>
  <c r="F826" i="13" s="1"/>
  <c r="G825" i="13"/>
  <c r="D1087" i="13"/>
  <c r="E1087" i="13" s="1"/>
  <c r="F1087" i="13" s="1"/>
  <c r="G1086" i="13"/>
  <c r="D224" i="20"/>
  <c r="E224" i="20" s="1"/>
  <c r="F224" i="20" s="1"/>
  <c r="D1580" i="20"/>
  <c r="E1580" i="20" s="1"/>
  <c r="F1580" i="20" s="1"/>
  <c r="D1581" i="20" s="1"/>
  <c r="D1959" i="13"/>
  <c r="E1959" i="13" s="1"/>
  <c r="F1959" i="13" s="1"/>
  <c r="G1958" i="13"/>
  <c r="G1174" i="13"/>
  <c r="G742" i="13"/>
  <c r="D391" i="13"/>
  <c r="G390" i="13"/>
  <c r="D653" i="13"/>
  <c r="G652" i="13"/>
  <c r="D135" i="20"/>
  <c r="D1349" i="13"/>
  <c r="G1348" i="13"/>
  <c r="D1213" i="20"/>
  <c r="D1611" i="13"/>
  <c r="G1610" i="13"/>
  <c r="D1126" i="20"/>
  <c r="D406" i="20"/>
  <c r="D1523" i="13"/>
  <c r="G1522" i="13"/>
  <c r="D856" i="20"/>
  <c r="D1786" i="13"/>
  <c r="G1785" i="13"/>
  <c r="D583" i="20"/>
  <c r="D2024" i="20"/>
  <c r="E1756" i="20"/>
  <c r="F1756" i="20" s="1"/>
  <c r="E1306" i="20"/>
  <c r="F1306" i="20" s="1"/>
  <c r="D1307" i="20" s="1"/>
  <c r="E1699" i="13"/>
  <c r="F1699" i="13" s="1"/>
  <c r="D1700" i="13" s="1"/>
  <c r="E566" i="13"/>
  <c r="F566" i="13" s="1"/>
  <c r="E1175" i="13"/>
  <c r="F1175" i="13" s="1"/>
  <c r="E1935" i="20"/>
  <c r="F1935" i="20" s="1"/>
  <c r="E495" i="20"/>
  <c r="F495" i="20" s="1"/>
  <c r="E672" i="20"/>
  <c r="F672" i="20" s="1"/>
  <c r="E1868" i="13"/>
  <c r="F1868" i="13" s="1"/>
  <c r="G1263" i="13"/>
  <c r="B227" i="2"/>
  <c r="E476" i="13"/>
  <c r="F476" i="13" s="1"/>
  <c r="E766" i="20"/>
  <c r="F766" i="20" s="1"/>
  <c r="E1439" i="13"/>
  <c r="F1439" i="13" s="1"/>
  <c r="D1440" i="13" s="1"/>
  <c r="E132" i="13"/>
  <c r="F132" i="13" s="1"/>
  <c r="E307" i="13"/>
  <c r="F307" i="13" s="1"/>
  <c r="D308" i="13" s="1"/>
  <c r="E1396" i="20"/>
  <c r="F1396" i="20" s="1"/>
  <c r="E1264" i="13"/>
  <c r="F1264" i="13" s="1"/>
  <c r="G131" i="13"/>
  <c r="G1867" i="13"/>
  <c r="E916" i="13"/>
  <c r="F916" i="13" s="1"/>
  <c r="D917" i="13" s="1"/>
  <c r="E1841" i="20"/>
  <c r="F1841" i="20" s="1"/>
  <c r="E316" i="20"/>
  <c r="F316" i="20" s="1"/>
  <c r="D317" i="20" s="1"/>
  <c r="B130" i="34"/>
  <c r="G306" i="13"/>
  <c r="E949" i="20"/>
  <c r="F949" i="20" s="1"/>
  <c r="E1033" i="20"/>
  <c r="F1033" i="20" s="1"/>
  <c r="D1034" i="20" s="1"/>
  <c r="E1663" i="20"/>
  <c r="F1663" i="20" s="1"/>
  <c r="D1664" i="20" s="1"/>
  <c r="A131" i="34"/>
  <c r="B131" i="34"/>
  <c r="E743" i="13"/>
  <c r="F743" i="13" s="1"/>
  <c r="D744" i="13" s="1"/>
  <c r="G1698" i="13"/>
  <c r="E999" i="13"/>
  <c r="F999" i="13" s="1"/>
  <c r="E217" i="13"/>
  <c r="F217" i="13" s="1"/>
  <c r="D218" i="13" s="1"/>
  <c r="E1483" i="20"/>
  <c r="F1483" i="20" s="1"/>
  <c r="D950" i="20" l="1"/>
  <c r="E950" i="20" s="1"/>
  <c r="F950" i="20" s="1"/>
  <c r="D1960" i="13"/>
  <c r="E1960" i="13" s="1"/>
  <c r="F1960" i="13" s="1"/>
  <c r="G1959" i="13"/>
  <c r="D767" i="20"/>
  <c r="E767" i="20" s="1"/>
  <c r="F767" i="20" s="1"/>
  <c r="D1484" i="20"/>
  <c r="E1484" i="20" s="1"/>
  <c r="F1484" i="20" s="1"/>
  <c r="D1088" i="13"/>
  <c r="E1088" i="13" s="1"/>
  <c r="F1088" i="13" s="1"/>
  <c r="G1087" i="13"/>
  <c r="D1397" i="20"/>
  <c r="E1397" i="20" s="1"/>
  <c r="F1397" i="20" s="1"/>
  <c r="D1398" i="20" s="1"/>
  <c r="D1176" i="13"/>
  <c r="E1176" i="13" s="1"/>
  <c r="F1176" i="13" s="1"/>
  <c r="G1175" i="13"/>
  <c r="G1699" i="13"/>
  <c r="G743" i="13"/>
  <c r="D1869" i="13"/>
  <c r="G1868" i="13"/>
  <c r="D225" i="20"/>
  <c r="D673" i="20"/>
  <c r="D567" i="13"/>
  <c r="G566" i="13"/>
  <c r="D1000" i="13"/>
  <c r="G999" i="13"/>
  <c r="D133" i="13"/>
  <c r="G132" i="13"/>
  <c r="D477" i="13"/>
  <c r="G476" i="13"/>
  <c r="D1842" i="20"/>
  <c r="D827" i="13"/>
  <c r="G826" i="13"/>
  <c r="D1265" i="13"/>
  <c r="G1264" i="13"/>
  <c r="D496" i="20"/>
  <c r="D1757" i="20"/>
  <c r="D1936" i="20"/>
  <c r="E1440" i="13"/>
  <c r="F1440" i="13" s="1"/>
  <c r="E1307" i="20"/>
  <c r="F1307" i="20" s="1"/>
  <c r="D1308" i="20" s="1"/>
  <c r="E1349" i="13"/>
  <c r="F1349" i="13" s="1"/>
  <c r="D1350" i="13" s="1"/>
  <c r="E308" i="13"/>
  <c r="F308" i="13" s="1"/>
  <c r="D309" i="13" s="1"/>
  <c r="B228" i="2"/>
  <c r="B229" i="2" s="1"/>
  <c r="B230" i="2" s="1"/>
  <c r="D234" i="2"/>
  <c r="E1581" i="20"/>
  <c r="F1581" i="20" s="1"/>
  <c r="D1582" i="20" s="1"/>
  <c r="E1700" i="13"/>
  <c r="F1700" i="13" s="1"/>
  <c r="E2024" i="20"/>
  <c r="F2024" i="20" s="1"/>
  <c r="E856" i="20"/>
  <c r="F856" i="20" s="1"/>
  <c r="E1126" i="20"/>
  <c r="F1126" i="20" s="1"/>
  <c r="A133" i="34"/>
  <c r="E917" i="13"/>
  <c r="F917" i="13" s="1"/>
  <c r="D918" i="13" s="1"/>
  <c r="G307" i="13"/>
  <c r="E1523" i="13"/>
  <c r="F1523" i="13" s="1"/>
  <c r="E1611" i="13"/>
  <c r="F1611" i="13" s="1"/>
  <c r="D1612" i="13" s="1"/>
  <c r="E135" i="20"/>
  <c r="F135" i="20" s="1"/>
  <c r="D136" i="20" s="1"/>
  <c r="E583" i="20"/>
  <c r="F583" i="20" s="1"/>
  <c r="E218" i="13"/>
  <c r="F218" i="13" s="1"/>
  <c r="G916" i="13"/>
  <c r="E653" i="13"/>
  <c r="F653" i="13" s="1"/>
  <c r="E1664" i="20"/>
  <c r="F1664" i="20" s="1"/>
  <c r="E1034" i="20"/>
  <c r="F1034" i="20" s="1"/>
  <c r="D1035" i="20" s="1"/>
  <c r="E317" i="20"/>
  <c r="F317" i="20" s="1"/>
  <c r="G1439" i="13"/>
  <c r="E1786" i="13"/>
  <c r="F1786" i="13" s="1"/>
  <c r="E406" i="20"/>
  <c r="F406" i="20" s="1"/>
  <c r="E1213" i="20"/>
  <c r="F1213" i="20" s="1"/>
  <c r="G217" i="13"/>
  <c r="E744" i="13"/>
  <c r="F744" i="13" s="1"/>
  <c r="D745" i="13" s="1"/>
  <c r="E391" i="13"/>
  <c r="F391" i="13" s="1"/>
  <c r="D1665" i="20" l="1"/>
  <c r="E1665" i="20" s="1"/>
  <c r="F1665" i="20" s="1"/>
  <c r="D219" i="13"/>
  <c r="E219" i="13" s="1"/>
  <c r="F219" i="13" s="1"/>
  <c r="G218" i="13"/>
  <c r="D407" i="20"/>
  <c r="E407" i="20" s="1"/>
  <c r="F407" i="20" s="1"/>
  <c r="D408" i="20" s="1"/>
  <c r="E230" i="2"/>
  <c r="D1089" i="13"/>
  <c r="G1088" i="13"/>
  <c r="D1127" i="20"/>
  <c r="D857" i="20"/>
  <c r="D1787" i="13"/>
  <c r="G1786" i="13"/>
  <c r="D1524" i="13"/>
  <c r="G1523" i="13"/>
  <c r="D2025" i="20"/>
  <c r="D1701" i="13"/>
  <c r="G1700" i="13"/>
  <c r="D584" i="20"/>
  <c r="D1961" i="13"/>
  <c r="G1960" i="13"/>
  <c r="D318" i="20"/>
  <c r="D392" i="13"/>
  <c r="G391" i="13"/>
  <c r="D1214" i="20"/>
  <c r="D1177" i="13"/>
  <c r="G1176" i="13"/>
  <c r="D1441" i="13"/>
  <c r="G1440" i="13"/>
  <c r="D654" i="13"/>
  <c r="G653" i="13"/>
  <c r="D1485" i="20"/>
  <c r="D768" i="20"/>
  <c r="D951" i="20"/>
  <c r="E1582" i="20"/>
  <c r="F1582" i="20" s="1"/>
  <c r="D1583" i="20" s="1"/>
  <c r="E496" i="20"/>
  <c r="F496" i="20" s="1"/>
  <c r="E1350" i="13"/>
  <c r="F1350" i="13" s="1"/>
  <c r="E477" i="13"/>
  <c r="F477" i="13" s="1"/>
  <c r="E1035" i="20"/>
  <c r="F1035" i="20" s="1"/>
  <c r="D1036" i="20" s="1"/>
  <c r="E136" i="20"/>
  <c r="F136" i="20" s="1"/>
  <c r="D137" i="20" s="1"/>
  <c r="G1349" i="13"/>
  <c r="E1936" i="20"/>
  <c r="F1936" i="20" s="1"/>
  <c r="E1265" i="13"/>
  <c r="F1265" i="13" s="1"/>
  <c r="E673" i="20"/>
  <c r="F673" i="20" s="1"/>
  <c r="G917" i="13"/>
  <c r="D235" i="2"/>
  <c r="B233" i="2"/>
  <c r="E133" i="13"/>
  <c r="F133" i="13" s="1"/>
  <c r="E1612" i="13"/>
  <c r="F1612" i="13" s="1"/>
  <c r="D1613" i="13" s="1"/>
  <c r="E918" i="13"/>
  <c r="F918" i="13" s="1"/>
  <c r="D919" i="13" s="1"/>
  <c r="E309" i="13"/>
  <c r="F309" i="13" s="1"/>
  <c r="D310" i="13" s="1"/>
  <c r="E827" i="13"/>
  <c r="F827" i="13" s="1"/>
  <c r="E1398" i="20"/>
  <c r="F1398" i="20" s="1"/>
  <c r="D1399" i="20" s="1"/>
  <c r="G1611" i="13"/>
  <c r="E1757" i="20"/>
  <c r="F1757" i="20" s="1"/>
  <c r="E1000" i="13"/>
  <c r="F1000" i="13" s="1"/>
  <c r="D1001" i="13" s="1"/>
  <c r="E225" i="20"/>
  <c r="F225" i="20" s="1"/>
  <c r="E745" i="13"/>
  <c r="F745" i="13" s="1"/>
  <c r="A134" i="34"/>
  <c r="G308" i="13"/>
  <c r="E1308" i="20"/>
  <c r="F1308" i="20" s="1"/>
  <c r="G744" i="13"/>
  <c r="E1842" i="20"/>
  <c r="F1842" i="20" s="1"/>
  <c r="D1843" i="20" s="1"/>
  <c r="E567" i="13"/>
  <c r="F567" i="13" s="1"/>
  <c r="E1869" i="13"/>
  <c r="F1869" i="13" s="1"/>
  <c r="D1870" i="13" s="1"/>
  <c r="D497" i="20" l="1"/>
  <c r="E497" i="20" s="1"/>
  <c r="F497" i="20" s="1"/>
  <c r="D828" i="13"/>
  <c r="E828" i="13" s="1"/>
  <c r="F828" i="13" s="1"/>
  <c r="D829" i="13" s="1"/>
  <c r="G827" i="13"/>
  <c r="G309" i="13"/>
  <c r="D674" i="20"/>
  <c r="D220" i="13"/>
  <c r="G219" i="13"/>
  <c r="D478" i="13"/>
  <c r="G477" i="13"/>
  <c r="D746" i="13"/>
  <c r="G745" i="13"/>
  <c r="D1266" i="13"/>
  <c r="G1265" i="13"/>
  <c r="D226" i="20"/>
  <c r="D1937" i="20"/>
  <c r="D134" i="13"/>
  <c r="G133" i="13"/>
  <c r="D1666" i="20"/>
  <c r="D1351" i="13"/>
  <c r="G1350" i="13"/>
  <c r="D568" i="13"/>
  <c r="G567" i="13"/>
  <c r="D1309" i="20"/>
  <c r="D1758" i="20"/>
  <c r="E919" i="13"/>
  <c r="F919" i="13" s="1"/>
  <c r="E1177" i="13"/>
  <c r="F1177" i="13" s="1"/>
  <c r="E1843" i="20"/>
  <c r="F1843" i="20" s="1"/>
  <c r="G918" i="13"/>
  <c r="E768" i="20"/>
  <c r="F768" i="20" s="1"/>
  <c r="D769" i="20" s="1"/>
  <c r="E1701" i="13"/>
  <c r="F1701" i="13" s="1"/>
  <c r="D1702" i="13" s="1"/>
  <c r="A135" i="34"/>
  <c r="A136" i="34" s="1"/>
  <c r="E857" i="20"/>
  <c r="F857" i="20" s="1"/>
  <c r="D858" i="20" s="1"/>
  <c r="E1036" i="20"/>
  <c r="F1036" i="20" s="1"/>
  <c r="D1037" i="20" s="1"/>
  <c r="E408" i="20"/>
  <c r="F408" i="20" s="1"/>
  <c r="E1485" i="20"/>
  <c r="F1485" i="20" s="1"/>
  <c r="D1486" i="20" s="1"/>
  <c r="E1961" i="13"/>
  <c r="F1961" i="13" s="1"/>
  <c r="E2025" i="20"/>
  <c r="F2025" i="20" s="1"/>
  <c r="E318" i="20"/>
  <c r="F318" i="20" s="1"/>
  <c r="G1612" i="13"/>
  <c r="E1583" i="20"/>
  <c r="F1583" i="20" s="1"/>
  <c r="E1214" i="20"/>
  <c r="F1214" i="20" s="1"/>
  <c r="E1399" i="20"/>
  <c r="F1399" i="20" s="1"/>
  <c r="E1613" i="13"/>
  <c r="F1613" i="13" s="1"/>
  <c r="B234" i="2"/>
  <c r="B235" i="2" s="1"/>
  <c r="D236" i="2" s="1"/>
  <c r="E137" i="20"/>
  <c r="F137" i="20" s="1"/>
  <c r="E951" i="20"/>
  <c r="F951" i="20" s="1"/>
  <c r="E654" i="13"/>
  <c r="F654" i="13" s="1"/>
  <c r="E1524" i="13"/>
  <c r="F1524" i="13" s="1"/>
  <c r="E1127" i="20"/>
  <c r="F1127" i="20" s="1"/>
  <c r="D1128" i="20" s="1"/>
  <c r="E1870" i="13"/>
  <c r="F1870" i="13" s="1"/>
  <c r="G1869" i="13"/>
  <c r="E1001" i="13"/>
  <c r="F1001" i="13" s="1"/>
  <c r="E310" i="13"/>
  <c r="F310" i="13" s="1"/>
  <c r="D311" i="13" s="1"/>
  <c r="E392" i="13"/>
  <c r="F392" i="13" s="1"/>
  <c r="E584" i="20"/>
  <c r="F584" i="20" s="1"/>
  <c r="D585" i="20" s="1"/>
  <c r="G1000" i="13"/>
  <c r="E1441" i="13"/>
  <c r="F1441" i="13" s="1"/>
  <c r="E1787" i="13"/>
  <c r="F1787" i="13" s="1"/>
  <c r="E1089" i="13"/>
  <c r="F1089" i="13" s="1"/>
  <c r="C19" i="20" l="1"/>
  <c r="C19" i="13"/>
  <c r="D1962" i="13"/>
  <c r="E1962" i="13" s="1"/>
  <c r="F1962" i="13" s="1"/>
  <c r="G1961" i="13"/>
  <c r="D1090" i="13"/>
  <c r="E1090" i="13" s="1"/>
  <c r="F1090" i="13" s="1"/>
  <c r="G1089" i="13"/>
  <c r="D1002" i="13"/>
  <c r="G1001" i="13"/>
  <c r="D655" i="13"/>
  <c r="G654" i="13"/>
  <c r="D1584" i="20"/>
  <c r="D1871" i="13"/>
  <c r="G1870" i="13"/>
  <c r="D138" i="20"/>
  <c r="D952" i="20"/>
  <c r="D1788" i="13"/>
  <c r="G1787" i="13"/>
  <c r="D393" i="13"/>
  <c r="G392" i="13"/>
  <c r="D1844" i="20"/>
  <c r="D1400" i="20"/>
  <c r="D498" i="20"/>
  <c r="D1178" i="13"/>
  <c r="G1177" i="13"/>
  <c r="D409" i="20"/>
  <c r="D1525" i="13"/>
  <c r="G1524" i="13"/>
  <c r="D1215" i="20"/>
  <c r="D1614" i="13"/>
  <c r="G1613" i="13"/>
  <c r="D319" i="20"/>
  <c r="D1442" i="13"/>
  <c r="G1441" i="13"/>
  <c r="D2026" i="20"/>
  <c r="D920" i="13"/>
  <c r="G919" i="13"/>
  <c r="A137" i="34"/>
  <c r="B139" i="34"/>
  <c r="B137" i="34"/>
  <c r="E746" i="13"/>
  <c r="F746" i="13" s="1"/>
  <c r="D747" i="13" s="1"/>
  <c r="E1702" i="13"/>
  <c r="F1702" i="13" s="1"/>
  <c r="E1758" i="20"/>
  <c r="F1758" i="20" s="1"/>
  <c r="E478" i="13"/>
  <c r="F478" i="13" s="1"/>
  <c r="D479" i="13" s="1"/>
  <c r="E1037" i="20"/>
  <c r="F1037" i="20" s="1"/>
  <c r="G310" i="13"/>
  <c r="E311" i="13"/>
  <c r="F311" i="13" s="1"/>
  <c r="D312" i="13" s="1"/>
  <c r="E769" i="20"/>
  <c r="F769" i="20" s="1"/>
  <c r="E1351" i="13"/>
  <c r="F1351" i="13" s="1"/>
  <c r="C16" i="13"/>
  <c r="C16" i="20"/>
  <c r="B236" i="2"/>
  <c r="G828" i="13"/>
  <c r="G1701" i="13"/>
  <c r="E1666" i="20"/>
  <c r="F1666" i="20" s="1"/>
  <c r="D1667" i="20" s="1"/>
  <c r="E226" i="20"/>
  <c r="F226" i="20" s="1"/>
  <c r="E220" i="13"/>
  <c r="F220" i="13" s="1"/>
  <c r="D221" i="13" s="1"/>
  <c r="E1486" i="20"/>
  <c r="F1486" i="20" s="1"/>
  <c r="E858" i="20"/>
  <c r="F858" i="20" s="1"/>
  <c r="D859" i="20" s="1"/>
  <c r="E829" i="13"/>
  <c r="F829" i="13" s="1"/>
  <c r="E1309" i="20"/>
  <c r="F1309" i="20" s="1"/>
  <c r="D1310" i="20" s="1"/>
  <c r="E585" i="20"/>
  <c r="F585" i="20" s="1"/>
  <c r="E1937" i="20"/>
  <c r="F1937" i="20" s="1"/>
  <c r="D1938" i="20" s="1"/>
  <c r="E1128" i="20"/>
  <c r="F1128" i="20" s="1"/>
  <c r="E134" i="13"/>
  <c r="F134" i="13" s="1"/>
  <c r="D135" i="13" s="1"/>
  <c r="E1266" i="13"/>
  <c r="F1266" i="13" s="1"/>
  <c r="B136" i="34"/>
  <c r="E568" i="13"/>
  <c r="F568" i="13" s="1"/>
  <c r="D569" i="13" s="1"/>
  <c r="E674" i="20"/>
  <c r="F674" i="20" s="1"/>
  <c r="D675" i="20" s="1"/>
  <c r="D1759" i="20" l="1"/>
  <c r="E1759" i="20" s="1"/>
  <c r="F1759" i="20" s="1"/>
  <c r="G478" i="13"/>
  <c r="D586" i="20"/>
  <c r="E586" i="20" s="1"/>
  <c r="F586" i="20" s="1"/>
  <c r="D1038" i="20"/>
  <c r="E1038" i="20" s="1"/>
  <c r="F1038" i="20" s="1"/>
  <c r="D1039" i="20" s="1"/>
  <c r="D227" i="20"/>
  <c r="E227" i="20" s="1"/>
  <c r="F227" i="20" s="1"/>
  <c r="D228" i="20" s="1"/>
  <c r="D1267" i="13"/>
  <c r="E1267" i="13" s="1"/>
  <c r="F1267" i="13" s="1"/>
  <c r="G1266" i="13"/>
  <c r="G220" i="13"/>
  <c r="D830" i="13"/>
  <c r="G829" i="13"/>
  <c r="D1091" i="13"/>
  <c r="G1090" i="13"/>
  <c r="D1352" i="13"/>
  <c r="G1351" i="13"/>
  <c r="D770" i="20"/>
  <c r="D1487" i="20"/>
  <c r="D1703" i="13"/>
  <c r="G1702" i="13"/>
  <c r="D1129" i="20"/>
  <c r="D1963" i="13"/>
  <c r="G1962" i="13"/>
  <c r="E312" i="13"/>
  <c r="F312" i="13" s="1"/>
  <c r="G134" i="13"/>
  <c r="E2026" i="20"/>
  <c r="F2026" i="20" s="1"/>
  <c r="E859" i="20"/>
  <c r="F859" i="20" s="1"/>
  <c r="E675" i="20"/>
  <c r="F675" i="20" s="1"/>
  <c r="D676" i="20" s="1"/>
  <c r="E1614" i="13"/>
  <c r="F1614" i="13" s="1"/>
  <c r="D1615" i="13" s="1"/>
  <c r="E1178" i="13"/>
  <c r="F1178" i="13" s="1"/>
  <c r="E952" i="20"/>
  <c r="F952" i="20" s="1"/>
  <c r="E1584" i="20"/>
  <c r="F1584" i="20" s="1"/>
  <c r="E569" i="13"/>
  <c r="F569" i="13" s="1"/>
  <c r="D570" i="13" s="1"/>
  <c r="E1667" i="20"/>
  <c r="F1667" i="20" s="1"/>
  <c r="D1668" i="20" s="1"/>
  <c r="A139" i="34"/>
  <c r="B140" i="34"/>
  <c r="E1788" i="13"/>
  <c r="F1788" i="13" s="1"/>
  <c r="E1442" i="13"/>
  <c r="F1442" i="13" s="1"/>
  <c r="E1215" i="20"/>
  <c r="F1215" i="20" s="1"/>
  <c r="E1844" i="20"/>
  <c r="F1844" i="20" s="1"/>
  <c r="D1845" i="20" s="1"/>
  <c r="E1871" i="13"/>
  <c r="F1871" i="13" s="1"/>
  <c r="D1872" i="13" s="1"/>
  <c r="E1310" i="20"/>
  <c r="F1310" i="20" s="1"/>
  <c r="E655" i="13"/>
  <c r="F655" i="13" s="1"/>
  <c r="E409" i="20"/>
  <c r="F409" i="20" s="1"/>
  <c r="D410" i="20" s="1"/>
  <c r="E1938" i="20"/>
  <c r="F1938" i="20" s="1"/>
  <c r="D1939" i="20" s="1"/>
  <c r="E221" i="13"/>
  <c r="F221" i="13" s="1"/>
  <c r="D222" i="13" s="1"/>
  <c r="E479" i="13"/>
  <c r="F479" i="13" s="1"/>
  <c r="E1525" i="13"/>
  <c r="F1525" i="13" s="1"/>
  <c r="D1526" i="13" s="1"/>
  <c r="E498" i="20"/>
  <c r="F498" i="20" s="1"/>
  <c r="E393" i="13"/>
  <c r="F393" i="13" s="1"/>
  <c r="E138" i="20"/>
  <c r="F138" i="20" s="1"/>
  <c r="D139" i="20" s="1"/>
  <c r="E747" i="13"/>
  <c r="F747" i="13" s="1"/>
  <c r="D748" i="13" s="1"/>
  <c r="E135" i="13"/>
  <c r="F135" i="13" s="1"/>
  <c r="E1400" i="20"/>
  <c r="F1400" i="20" s="1"/>
  <c r="D1401" i="20" s="1"/>
  <c r="G568" i="13"/>
  <c r="B240" i="2"/>
  <c r="B241" i="2" s="1"/>
  <c r="B242" i="2" s="1"/>
  <c r="B243" i="2" s="1"/>
  <c r="B244" i="2" s="1"/>
  <c r="E183" i="2"/>
  <c r="D171" i="2"/>
  <c r="G311" i="13"/>
  <c r="G746" i="13"/>
  <c r="E920" i="13"/>
  <c r="F920" i="13" s="1"/>
  <c r="E319" i="20"/>
  <c r="F319" i="20" s="1"/>
  <c r="E1002" i="13"/>
  <c r="F1002" i="13" s="1"/>
  <c r="D1003" i="13" s="1"/>
  <c r="D2027" i="20" l="1"/>
  <c r="E2027" i="20" s="1"/>
  <c r="F2027" i="20" s="1"/>
  <c r="D480" i="13"/>
  <c r="E480" i="13" s="1"/>
  <c r="F480" i="13" s="1"/>
  <c r="G479" i="13"/>
  <c r="D1268" i="13"/>
  <c r="E1268" i="13" s="1"/>
  <c r="F1268" i="13" s="1"/>
  <c r="D1269" i="13" s="1"/>
  <c r="G1267" i="13"/>
  <c r="D656" i="13"/>
  <c r="E656" i="13" s="1"/>
  <c r="F656" i="13" s="1"/>
  <c r="G655" i="13"/>
  <c r="D136" i="13"/>
  <c r="G135" i="13"/>
  <c r="D1585" i="20"/>
  <c r="D860" i="20"/>
  <c r="D1760" i="20"/>
  <c r="D1789" i="13"/>
  <c r="G1788" i="13"/>
  <c r="D953" i="20"/>
  <c r="D1443" i="13"/>
  <c r="G1442" i="13"/>
  <c r="D1179" i="13"/>
  <c r="G1178" i="13"/>
  <c r="D1311" i="20"/>
  <c r="D313" i="13"/>
  <c r="G312" i="13"/>
  <c r="D320" i="20"/>
  <c r="D587" i="20"/>
  <c r="D921" i="13"/>
  <c r="G920" i="13"/>
  <c r="D499" i="20"/>
  <c r="D394" i="13"/>
  <c r="G393" i="13"/>
  <c r="D1216" i="20"/>
  <c r="E1526" i="13"/>
  <c r="F1526" i="13" s="1"/>
  <c r="E1615" i="13"/>
  <c r="F1615" i="13" s="1"/>
  <c r="G747" i="13"/>
  <c r="G1525" i="13"/>
  <c r="E1129" i="20"/>
  <c r="F1129" i="20" s="1"/>
  <c r="E770" i="20"/>
  <c r="F770" i="20" s="1"/>
  <c r="E410" i="20"/>
  <c r="F410" i="20" s="1"/>
  <c r="A140" i="34"/>
  <c r="B151" i="34"/>
  <c r="B144" i="34"/>
  <c r="B202" i="34"/>
  <c r="G221" i="13"/>
  <c r="G1871" i="13"/>
  <c r="E1872" i="13"/>
  <c r="F1872" i="13" s="1"/>
  <c r="E1039" i="20"/>
  <c r="F1039" i="20" s="1"/>
  <c r="E676" i="20"/>
  <c r="F676" i="20" s="1"/>
  <c r="E1352" i="13"/>
  <c r="F1352" i="13" s="1"/>
  <c r="E139" i="20"/>
  <c r="F139" i="20" s="1"/>
  <c r="E1401" i="20"/>
  <c r="F1401" i="20" s="1"/>
  <c r="E222" i="13"/>
  <c r="F222" i="13" s="1"/>
  <c r="D223" i="13" s="1"/>
  <c r="E1703" i="13"/>
  <c r="F1703" i="13" s="1"/>
  <c r="G1002" i="13"/>
  <c r="G569" i="13"/>
  <c r="E1091" i="13"/>
  <c r="F1091" i="13" s="1"/>
  <c r="D1092" i="13" s="1"/>
  <c r="E748" i="13"/>
  <c r="F748" i="13" s="1"/>
  <c r="D749" i="13" s="1"/>
  <c r="B245" i="2"/>
  <c r="B246" i="2" s="1"/>
  <c r="B247" i="2" s="1"/>
  <c r="B248" i="2" s="1"/>
  <c r="B250" i="2" s="1"/>
  <c r="B251" i="2" s="1"/>
  <c r="B252" i="2" s="1"/>
  <c r="B253" i="2" s="1"/>
  <c r="B254" i="2" s="1"/>
  <c r="E1845" i="20"/>
  <c r="F1845" i="20" s="1"/>
  <c r="E228" i="20"/>
  <c r="F228" i="20" s="1"/>
  <c r="E1003" i="13"/>
  <c r="F1003" i="13" s="1"/>
  <c r="E570" i="13"/>
  <c r="F570" i="13" s="1"/>
  <c r="E1963" i="13"/>
  <c r="F1963" i="13" s="1"/>
  <c r="E1487" i="20"/>
  <c r="F1487" i="20" s="1"/>
  <c r="E1939" i="20"/>
  <c r="F1939" i="20" s="1"/>
  <c r="E1668" i="20"/>
  <c r="F1668" i="20" s="1"/>
  <c r="G1614" i="13"/>
  <c r="E830" i="13"/>
  <c r="F830" i="13" s="1"/>
  <c r="D831" i="13" s="1"/>
  <c r="E248" i="2" l="1"/>
  <c r="D2028" i="20"/>
  <c r="E2028" i="20" s="1"/>
  <c r="F2028" i="20" s="1"/>
  <c r="D1488" i="20"/>
  <c r="E1488" i="20" s="1"/>
  <c r="F1488" i="20" s="1"/>
  <c r="D1489" i="20" s="1"/>
  <c r="D1964" i="13"/>
  <c r="E1964" i="13" s="1"/>
  <c r="F1964" i="13" s="1"/>
  <c r="G1963" i="13"/>
  <c r="D1669" i="20"/>
  <c r="E1669" i="20" s="1"/>
  <c r="F1669" i="20" s="1"/>
  <c r="D1004" i="13"/>
  <c r="E1004" i="13" s="1"/>
  <c r="F1004" i="13" s="1"/>
  <c r="D1005" i="13" s="1"/>
  <c r="G1003" i="13"/>
  <c r="D571" i="13"/>
  <c r="G570" i="13"/>
  <c r="D1704" i="13"/>
  <c r="G1703" i="13"/>
  <c r="D1846" i="20"/>
  <c r="D411" i="20"/>
  <c r="D771" i="20"/>
  <c r="D1616" i="13"/>
  <c r="G1615" i="13"/>
  <c r="D481" i="13"/>
  <c r="G480" i="13"/>
  <c r="D1402" i="20"/>
  <c r="D1353" i="13"/>
  <c r="G1352" i="13"/>
  <c r="D1130" i="20"/>
  <c r="D1527" i="13"/>
  <c r="G1526" i="13"/>
  <c r="D677" i="20"/>
  <c r="D229" i="20"/>
  <c r="D1940" i="20"/>
  <c r="D1040" i="20"/>
  <c r="D140" i="20"/>
  <c r="D1873" i="13"/>
  <c r="G1872" i="13"/>
  <c r="D657" i="13"/>
  <c r="G656" i="13"/>
  <c r="G1268" i="13"/>
  <c r="E921" i="13"/>
  <c r="F921" i="13" s="1"/>
  <c r="E313" i="13"/>
  <c r="F313" i="13" s="1"/>
  <c r="D314" i="13" s="1"/>
  <c r="G748" i="13"/>
  <c r="G222" i="13"/>
  <c r="A143" i="34"/>
  <c r="B167" i="34"/>
  <c r="E953" i="20"/>
  <c r="F953" i="20" s="1"/>
  <c r="D954" i="20" s="1"/>
  <c r="E860" i="20"/>
  <c r="F860" i="20" s="1"/>
  <c r="D861" i="20" s="1"/>
  <c r="E831" i="13"/>
  <c r="F831" i="13" s="1"/>
  <c r="E1269" i="13"/>
  <c r="F1269" i="13" s="1"/>
  <c r="G830" i="13"/>
  <c r="E749" i="13"/>
  <c r="F749" i="13" s="1"/>
  <c r="E394" i="13"/>
  <c r="F394" i="13" s="1"/>
  <c r="D395" i="13" s="1"/>
  <c r="E587" i="20"/>
  <c r="F587" i="20" s="1"/>
  <c r="D588" i="20" s="1"/>
  <c r="E1311" i="20"/>
  <c r="F1311" i="20" s="1"/>
  <c r="E1216" i="20"/>
  <c r="F1216" i="20" s="1"/>
  <c r="E1789" i="13"/>
  <c r="F1789" i="13" s="1"/>
  <c r="G1091" i="13"/>
  <c r="E1179" i="13"/>
  <c r="F1179" i="13" s="1"/>
  <c r="E1585" i="20"/>
  <c r="F1585" i="20" s="1"/>
  <c r="E223" i="13"/>
  <c r="F223" i="13" s="1"/>
  <c r="E499" i="20"/>
  <c r="F499" i="20" s="1"/>
  <c r="E320" i="20"/>
  <c r="F320" i="20" s="1"/>
  <c r="D321" i="20" s="1"/>
  <c r="E1092" i="13"/>
  <c r="F1092" i="13" s="1"/>
  <c r="E1443" i="13"/>
  <c r="F1443" i="13" s="1"/>
  <c r="E1760" i="20"/>
  <c r="F1760" i="20" s="1"/>
  <c r="D1761" i="20" s="1"/>
  <c r="E136" i="13"/>
  <c r="F136" i="13" s="1"/>
  <c r="D1180" i="13" l="1"/>
  <c r="G1179" i="13"/>
  <c r="D832" i="13"/>
  <c r="G831" i="13"/>
  <c r="D750" i="13"/>
  <c r="G749" i="13"/>
  <c r="D1965" i="13"/>
  <c r="G1964" i="13"/>
  <c r="D137" i="13"/>
  <c r="G136" i="13"/>
  <c r="D2029" i="20"/>
  <c r="D500" i="20"/>
  <c r="D1093" i="13"/>
  <c r="G1092" i="13"/>
  <c r="D922" i="13"/>
  <c r="G921" i="13"/>
  <c r="D1270" i="13"/>
  <c r="G1269" i="13"/>
  <c r="D1217" i="20"/>
  <c r="D1670" i="20"/>
  <c r="D1444" i="13"/>
  <c r="G1443" i="13"/>
  <c r="D224" i="13"/>
  <c r="G223" i="13"/>
  <c r="D1312" i="20"/>
  <c r="D1790" i="13"/>
  <c r="G1789" i="13"/>
  <c r="D1586" i="20"/>
  <c r="E395" i="13"/>
  <c r="F395" i="13" s="1"/>
  <c r="E861" i="20"/>
  <c r="F861" i="20" s="1"/>
  <c r="A144" i="34"/>
  <c r="A145" i="34" s="1"/>
  <c r="B206" i="34"/>
  <c r="G313" i="13"/>
  <c r="E140" i="20"/>
  <c r="F140" i="20" s="1"/>
  <c r="E481" i="13"/>
  <c r="F481" i="13" s="1"/>
  <c r="D482" i="13" s="1"/>
  <c r="E411" i="20"/>
  <c r="F411" i="20" s="1"/>
  <c r="E1616" i="13"/>
  <c r="F1616" i="13" s="1"/>
  <c r="E321" i="20"/>
  <c r="F321" i="20" s="1"/>
  <c r="E229" i="20"/>
  <c r="F229" i="20" s="1"/>
  <c r="G1004" i="13"/>
  <c r="E657" i="13"/>
  <c r="F657" i="13" s="1"/>
  <c r="E1040" i="20"/>
  <c r="F1040" i="20" s="1"/>
  <c r="D1041" i="20" s="1"/>
  <c r="E1353" i="13"/>
  <c r="F1353" i="13" s="1"/>
  <c r="E1846" i="20"/>
  <c r="F1846" i="20" s="1"/>
  <c r="E1005" i="13"/>
  <c r="F1005" i="13" s="1"/>
  <c r="E588" i="20"/>
  <c r="F588" i="20" s="1"/>
  <c r="E1489" i="20"/>
  <c r="F1489" i="20" s="1"/>
  <c r="D1490" i="20" s="1"/>
  <c r="E954" i="20"/>
  <c r="F954" i="20" s="1"/>
  <c r="E677" i="20"/>
  <c r="F677" i="20" s="1"/>
  <c r="E1130" i="20"/>
  <c r="F1130" i="20" s="1"/>
  <c r="E1873" i="13"/>
  <c r="F1873" i="13" s="1"/>
  <c r="D1874" i="13" s="1"/>
  <c r="E771" i="20"/>
  <c r="F771" i="20" s="1"/>
  <c r="D772" i="20" s="1"/>
  <c r="E1704" i="13"/>
  <c r="F1704" i="13" s="1"/>
  <c r="D1705" i="13" s="1"/>
  <c r="G394" i="13"/>
  <c r="E1940" i="20"/>
  <c r="F1940" i="20" s="1"/>
  <c r="E1527" i="13"/>
  <c r="F1527" i="13" s="1"/>
  <c r="E1402" i="20"/>
  <c r="F1402" i="20" s="1"/>
  <c r="D1403" i="20" s="1"/>
  <c r="E1761" i="20"/>
  <c r="F1761" i="20" s="1"/>
  <c r="D1762" i="20" s="1"/>
  <c r="E314" i="13"/>
  <c r="F314" i="13" s="1"/>
  <c r="D315" i="13" s="1"/>
  <c r="E571" i="13"/>
  <c r="F571" i="13" s="1"/>
  <c r="D862" i="20" l="1"/>
  <c r="E862" i="20" s="1"/>
  <c r="F862" i="20" s="1"/>
  <c r="D863" i="20" s="1"/>
  <c r="D230" i="20"/>
  <c r="E230" i="20" s="1"/>
  <c r="F230" i="20" s="1"/>
  <c r="D231" i="20" s="1"/>
  <c r="D572" i="13"/>
  <c r="E572" i="13" s="1"/>
  <c r="F572" i="13" s="1"/>
  <c r="G571" i="13"/>
  <c r="D1354" i="13"/>
  <c r="E1354" i="13" s="1"/>
  <c r="F1354" i="13" s="1"/>
  <c r="D1355" i="13" s="1"/>
  <c r="G1353" i="13"/>
  <c r="D1131" i="20"/>
  <c r="E1131" i="20" s="1"/>
  <c r="F1131" i="20" s="1"/>
  <c r="D678" i="20"/>
  <c r="D589" i="20"/>
  <c r="D1006" i="13"/>
  <c r="G1005" i="13"/>
  <c r="D141" i="20"/>
  <c r="D396" i="13"/>
  <c r="G395" i="13"/>
  <c r="D1847" i="20"/>
  <c r="D1528" i="13"/>
  <c r="G1527" i="13"/>
  <c r="D1941" i="20"/>
  <c r="D322" i="20"/>
  <c r="D1617" i="13"/>
  <c r="G1616" i="13"/>
  <c r="D658" i="13"/>
  <c r="G657" i="13"/>
  <c r="D955" i="20"/>
  <c r="D412" i="20"/>
  <c r="E1965" i="13"/>
  <c r="F1965" i="13" s="1"/>
  <c r="D1966" i="13" s="1"/>
  <c r="E315" i="13"/>
  <c r="F315" i="13" s="1"/>
  <c r="E772" i="20"/>
  <c r="F772" i="20" s="1"/>
  <c r="E1586" i="20"/>
  <c r="F1586" i="20" s="1"/>
  <c r="G1704" i="13"/>
  <c r="E1874" i="13"/>
  <c r="F1874" i="13" s="1"/>
  <c r="G481" i="13"/>
  <c r="A146" i="34"/>
  <c r="B208" i="34"/>
  <c r="E1444" i="13"/>
  <c r="F1444" i="13" s="1"/>
  <c r="E1270" i="13"/>
  <c r="F1270" i="13" s="1"/>
  <c r="D1271" i="13" s="1"/>
  <c r="E750" i="13"/>
  <c r="F750" i="13" s="1"/>
  <c r="D751" i="13" s="1"/>
  <c r="E1403" i="20"/>
  <c r="F1403" i="20" s="1"/>
  <c r="D1404" i="20" s="1"/>
  <c r="E1217" i="20"/>
  <c r="F1217" i="20" s="1"/>
  <c r="D1218" i="20" s="1"/>
  <c r="G1873" i="13"/>
  <c r="E1490" i="20"/>
  <c r="F1490" i="20" s="1"/>
  <c r="D1491" i="20" s="1"/>
  <c r="E1790" i="13"/>
  <c r="F1790" i="13" s="1"/>
  <c r="E1762" i="20"/>
  <c r="F1762" i="20" s="1"/>
  <c r="E922" i="13"/>
  <c r="F922" i="13" s="1"/>
  <c r="E2029" i="20"/>
  <c r="F2029" i="20" s="1"/>
  <c r="E832" i="13"/>
  <c r="F832" i="13" s="1"/>
  <c r="E1705" i="13"/>
  <c r="F1705" i="13" s="1"/>
  <c r="D1706" i="13" s="1"/>
  <c r="E500" i="20"/>
  <c r="F500" i="20" s="1"/>
  <c r="E1041" i="20"/>
  <c r="F1041" i="20" s="1"/>
  <c r="E1670" i="20"/>
  <c r="F1670" i="20" s="1"/>
  <c r="D1671" i="20" s="1"/>
  <c r="E224" i="13"/>
  <c r="F224" i="13" s="1"/>
  <c r="E482" i="13"/>
  <c r="F482" i="13" s="1"/>
  <c r="G314" i="13"/>
  <c r="E1312" i="20"/>
  <c r="F1312" i="20" s="1"/>
  <c r="E1093" i="13"/>
  <c r="F1093" i="13" s="1"/>
  <c r="E137" i="13"/>
  <c r="F137" i="13" s="1"/>
  <c r="E1180" i="13"/>
  <c r="F1180" i="13" s="1"/>
  <c r="G750" i="13" l="1"/>
  <c r="D1763" i="20"/>
  <c r="E1763" i="20" s="1"/>
  <c r="F1763" i="20" s="1"/>
  <c r="D923" i="13"/>
  <c r="E923" i="13" s="1"/>
  <c r="F923" i="13" s="1"/>
  <c r="G922" i="13"/>
  <c r="D1313" i="20"/>
  <c r="E1313" i="20" s="1"/>
  <c r="F1313" i="20" s="1"/>
  <c r="D1314" i="20" s="1"/>
  <c r="D773" i="20"/>
  <c r="E773" i="20" s="1"/>
  <c r="F773" i="20" s="1"/>
  <c r="D774" i="20" s="1"/>
  <c r="D1181" i="13"/>
  <c r="E1181" i="13" s="1"/>
  <c r="F1181" i="13" s="1"/>
  <c r="G1180" i="13"/>
  <c r="D138" i="13"/>
  <c r="E138" i="13" s="1"/>
  <c r="F138" i="13" s="1"/>
  <c r="G137" i="13"/>
  <c r="D833" i="13"/>
  <c r="E833" i="13" s="1"/>
  <c r="F833" i="13" s="1"/>
  <c r="G832" i="13"/>
  <c r="D1445" i="13"/>
  <c r="G1444" i="13"/>
  <c r="D1132" i="20"/>
  <c r="D1791" i="13"/>
  <c r="G1790" i="13"/>
  <c r="D2030" i="20"/>
  <c r="D1875" i="13"/>
  <c r="G1874" i="13"/>
  <c r="D573" i="13"/>
  <c r="G572" i="13"/>
  <c r="D316" i="13"/>
  <c r="G315" i="13"/>
  <c r="D1587" i="20"/>
  <c r="D1042" i="20"/>
  <c r="D1094" i="13"/>
  <c r="G1093" i="13"/>
  <c r="D483" i="13"/>
  <c r="G482" i="13"/>
  <c r="D501" i="20"/>
  <c r="D225" i="13"/>
  <c r="G224" i="13"/>
  <c r="E863" i="20"/>
  <c r="F863" i="20" s="1"/>
  <c r="D864" i="20" s="1"/>
  <c r="E1706" i="13"/>
  <c r="F1706" i="13" s="1"/>
  <c r="D1707" i="13" s="1"/>
  <c r="E1271" i="13"/>
  <c r="F1271" i="13" s="1"/>
  <c r="E412" i="20"/>
  <c r="F412" i="20" s="1"/>
  <c r="D413" i="20" s="1"/>
  <c r="E322" i="20"/>
  <c r="F322" i="20" s="1"/>
  <c r="E1847" i="20"/>
  <c r="F1847" i="20" s="1"/>
  <c r="D1848" i="20" s="1"/>
  <c r="E1671" i="20"/>
  <c r="F1671" i="20" s="1"/>
  <c r="D1672" i="20" s="1"/>
  <c r="E1966" i="13"/>
  <c r="F1966" i="13" s="1"/>
  <c r="E955" i="20"/>
  <c r="F955" i="20" s="1"/>
  <c r="E1404" i="20"/>
  <c r="F1404" i="20" s="1"/>
  <c r="E231" i="20"/>
  <c r="F231" i="20" s="1"/>
  <c r="E751" i="13"/>
  <c r="F751" i="13" s="1"/>
  <c r="E396" i="13"/>
  <c r="F396" i="13" s="1"/>
  <c r="D397" i="13" s="1"/>
  <c r="E589" i="20"/>
  <c r="F589" i="20" s="1"/>
  <c r="E1006" i="13"/>
  <c r="F1006" i="13" s="1"/>
  <c r="G1354" i="13"/>
  <c r="G1965" i="13"/>
  <c r="E658" i="13"/>
  <c r="F658" i="13" s="1"/>
  <c r="E1941" i="20"/>
  <c r="F1941" i="20" s="1"/>
  <c r="E1491" i="20"/>
  <c r="F1491" i="20" s="1"/>
  <c r="D1492" i="20" s="1"/>
  <c r="E1218" i="20"/>
  <c r="F1218" i="20" s="1"/>
  <c r="D1219" i="20" s="1"/>
  <c r="E1355" i="13"/>
  <c r="F1355" i="13" s="1"/>
  <c r="G1705" i="13"/>
  <c r="G1270" i="13"/>
  <c r="A147" i="34"/>
  <c r="B209" i="34"/>
  <c r="E1617" i="13"/>
  <c r="F1617" i="13" s="1"/>
  <c r="E1528" i="13"/>
  <c r="F1528" i="13" s="1"/>
  <c r="E141" i="20"/>
  <c r="F141" i="20" s="1"/>
  <c r="D142" i="20" s="1"/>
  <c r="E678" i="20"/>
  <c r="F678" i="20" s="1"/>
  <c r="D1007" i="13" l="1"/>
  <c r="E1007" i="13" s="1"/>
  <c r="F1007" i="13" s="1"/>
  <c r="G1006" i="13"/>
  <c r="D679" i="20"/>
  <c r="E679" i="20" s="1"/>
  <c r="F679" i="20" s="1"/>
  <c r="D1405" i="20"/>
  <c r="E1405" i="20" s="1"/>
  <c r="F1405" i="20" s="1"/>
  <c r="D1942" i="20"/>
  <c r="D659" i="13"/>
  <c r="G658" i="13"/>
  <c r="D232" i="20"/>
  <c r="D924" i="13"/>
  <c r="G923" i="13"/>
  <c r="D834" i="13"/>
  <c r="G833" i="13"/>
  <c r="D1764" i="20"/>
  <c r="D956" i="20"/>
  <c r="D323" i="20"/>
  <c r="D1272" i="13"/>
  <c r="G1271" i="13"/>
  <c r="D1967" i="13"/>
  <c r="G1966" i="13"/>
  <c r="D1529" i="13"/>
  <c r="G1528" i="13"/>
  <c r="D1356" i="13"/>
  <c r="G1355" i="13"/>
  <c r="D590" i="20"/>
  <c r="D752" i="13"/>
  <c r="G751" i="13"/>
  <c r="D1618" i="13"/>
  <c r="G1617" i="13"/>
  <c r="D1182" i="13"/>
  <c r="G1181" i="13"/>
  <c r="D139" i="13"/>
  <c r="G138" i="13"/>
  <c r="E1672" i="20"/>
  <c r="F1672" i="20" s="1"/>
  <c r="D1673" i="20" s="1"/>
  <c r="E1848" i="20"/>
  <c r="F1848" i="20" s="1"/>
  <c r="E413" i="20"/>
  <c r="F413" i="20" s="1"/>
  <c r="E864" i="20"/>
  <c r="F864" i="20" s="1"/>
  <c r="E2030" i="20"/>
  <c r="F2030" i="20" s="1"/>
  <c r="E1219" i="20"/>
  <c r="F1219" i="20" s="1"/>
  <c r="D1220" i="20" s="1"/>
  <c r="B152" i="34"/>
  <c r="A150" i="34"/>
  <c r="E1094" i="13"/>
  <c r="F1094" i="13" s="1"/>
  <c r="D1095" i="13" s="1"/>
  <c r="E316" i="13"/>
  <c r="F316" i="13" s="1"/>
  <c r="D317" i="13" s="1"/>
  <c r="E774" i="20"/>
  <c r="F774" i="20" s="1"/>
  <c r="E1314" i="20"/>
  <c r="F1314" i="20" s="1"/>
  <c r="G1706" i="13"/>
  <c r="E225" i="13"/>
  <c r="F225" i="13" s="1"/>
  <c r="D226" i="13" s="1"/>
  <c r="E1791" i="13"/>
  <c r="F1791" i="13" s="1"/>
  <c r="D1792" i="13" s="1"/>
  <c r="E1492" i="20"/>
  <c r="F1492" i="20" s="1"/>
  <c r="D1493" i="20" s="1"/>
  <c r="E397" i="13"/>
  <c r="F397" i="13" s="1"/>
  <c r="E1707" i="13"/>
  <c r="F1707" i="13" s="1"/>
  <c r="E573" i="13"/>
  <c r="F573" i="13" s="1"/>
  <c r="G396" i="13"/>
  <c r="E1042" i="20"/>
  <c r="F1042" i="20" s="1"/>
  <c r="E501" i="20"/>
  <c r="F501" i="20" s="1"/>
  <c r="E1875" i="13"/>
  <c r="F1875" i="13" s="1"/>
  <c r="D1876" i="13" s="1"/>
  <c r="E1132" i="20"/>
  <c r="F1132" i="20" s="1"/>
  <c r="E142" i="20"/>
  <c r="F142" i="20" s="1"/>
  <c r="E483" i="13"/>
  <c r="F483" i="13" s="1"/>
  <c r="D484" i="13" s="1"/>
  <c r="E1587" i="20"/>
  <c r="F1587" i="20" s="1"/>
  <c r="E1445" i="13"/>
  <c r="F1445" i="13" s="1"/>
  <c r="D775" i="20" l="1"/>
  <c r="E775" i="20" s="1"/>
  <c r="F775" i="20" s="1"/>
  <c r="D414" i="20"/>
  <c r="E414" i="20" s="1"/>
  <c r="F414" i="20" s="1"/>
  <c r="D398" i="13"/>
  <c r="G397" i="13"/>
  <c r="D1708" i="13"/>
  <c r="E1708" i="13" s="1"/>
  <c r="F1708" i="13" s="1"/>
  <c r="D1709" i="13" s="1"/>
  <c r="G1707" i="13"/>
  <c r="D1406" i="20"/>
  <c r="E1406" i="20" s="1"/>
  <c r="F1406" i="20" s="1"/>
  <c r="D574" i="13"/>
  <c r="E574" i="13" s="1"/>
  <c r="F574" i="13" s="1"/>
  <c r="D575" i="13" s="1"/>
  <c r="G573" i="13"/>
  <c r="D143" i="20"/>
  <c r="E143" i="20" s="1"/>
  <c r="D1133" i="20"/>
  <c r="E1133" i="20" s="1"/>
  <c r="F1133" i="20" s="1"/>
  <c r="G483" i="13"/>
  <c r="D2031" i="20"/>
  <c r="D1849" i="20"/>
  <c r="D1043" i="20"/>
  <c r="D1008" i="13"/>
  <c r="G1007" i="13"/>
  <c r="D502" i="20"/>
  <c r="D1588" i="20"/>
  <c r="D1446" i="13"/>
  <c r="G1445" i="13"/>
  <c r="D680" i="20"/>
  <c r="D1315" i="20"/>
  <c r="D865" i="20"/>
  <c r="G225" i="13"/>
  <c r="A151" i="34"/>
  <c r="E1967" i="13"/>
  <c r="F1967" i="13" s="1"/>
  <c r="E956" i="20"/>
  <c r="F956" i="20" s="1"/>
  <c r="E317" i="13"/>
  <c r="F317" i="13" s="1"/>
  <c r="G316" i="13"/>
  <c r="E590" i="20"/>
  <c r="F590" i="20" s="1"/>
  <c r="E1272" i="13"/>
  <c r="F1272" i="13" s="1"/>
  <c r="E232" i="20"/>
  <c r="F232" i="20" s="1"/>
  <c r="G1791" i="13"/>
  <c r="E1182" i="13"/>
  <c r="F1182" i="13" s="1"/>
  <c r="E1764" i="20"/>
  <c r="F1764" i="20" s="1"/>
  <c r="E226" i="13"/>
  <c r="F226" i="13" s="1"/>
  <c r="E1792" i="13"/>
  <c r="F1792" i="13" s="1"/>
  <c r="E1095" i="13"/>
  <c r="F1095" i="13" s="1"/>
  <c r="E1220" i="20"/>
  <c r="F1220" i="20" s="1"/>
  <c r="E1673" i="20"/>
  <c r="F1673" i="20" s="1"/>
  <c r="E1356" i="13"/>
  <c r="F1356" i="13" s="1"/>
  <c r="D1357" i="13" s="1"/>
  <c r="E659" i="13"/>
  <c r="F659" i="13" s="1"/>
  <c r="G1875" i="13"/>
  <c r="E1618" i="13"/>
  <c r="F1618" i="13" s="1"/>
  <c r="D1619" i="13" s="1"/>
  <c r="E323" i="20"/>
  <c r="F323" i="20" s="1"/>
  <c r="E834" i="13"/>
  <c r="F834" i="13" s="1"/>
  <c r="E1876" i="13"/>
  <c r="F1876" i="13" s="1"/>
  <c r="G1094" i="13"/>
  <c r="E1529" i="13"/>
  <c r="F1529" i="13" s="1"/>
  <c r="E1493" i="20"/>
  <c r="F1493" i="20" s="1"/>
  <c r="D1494" i="20" s="1"/>
  <c r="E139" i="13"/>
  <c r="F139" i="13" s="1"/>
  <c r="D140" i="13" s="1"/>
  <c r="E484" i="13"/>
  <c r="F484" i="13" s="1"/>
  <c r="E752" i="13"/>
  <c r="F752" i="13" s="1"/>
  <c r="D753" i="13" s="1"/>
  <c r="E924" i="13"/>
  <c r="F924" i="13" s="1"/>
  <c r="E1942" i="20"/>
  <c r="F1942" i="20" s="1"/>
  <c r="F143" i="20" l="1"/>
  <c r="D144" i="20" s="1"/>
  <c r="E144" i="20" s="1"/>
  <c r="F144" i="20" s="1"/>
  <c r="E398" i="13"/>
  <c r="F398" i="13" s="1"/>
  <c r="D1943" i="20"/>
  <c r="E1943" i="20" s="1"/>
  <c r="F1943" i="20" s="1"/>
  <c r="D835" i="13"/>
  <c r="E835" i="13" s="1"/>
  <c r="F835" i="13" s="1"/>
  <c r="G834" i="13"/>
  <c r="G752" i="13"/>
  <c r="D776" i="20"/>
  <c r="D1765" i="20"/>
  <c r="D1968" i="13"/>
  <c r="G1967" i="13"/>
  <c r="D324" i="20"/>
  <c r="D1134" i="20"/>
  <c r="D1793" i="13"/>
  <c r="G1792" i="13"/>
  <c r="D1530" i="13"/>
  <c r="G1529" i="13"/>
  <c r="D957" i="20"/>
  <c r="D1407" i="20"/>
  <c r="D1674" i="20"/>
  <c r="D1183" i="13"/>
  <c r="G1182" i="13"/>
  <c r="D233" i="20"/>
  <c r="D485" i="13"/>
  <c r="G484" i="13"/>
  <c r="D925" i="13"/>
  <c r="G924" i="13"/>
  <c r="D660" i="13"/>
  <c r="G659" i="13"/>
  <c r="D415" i="20"/>
  <c r="D1273" i="13"/>
  <c r="G1272" i="13"/>
  <c r="D1877" i="13"/>
  <c r="G1876" i="13"/>
  <c r="D1221" i="20"/>
  <c r="D227" i="13"/>
  <c r="G226" i="13"/>
  <c r="D591" i="20"/>
  <c r="D318" i="13"/>
  <c r="G317" i="13"/>
  <c r="D1096" i="13"/>
  <c r="G1095" i="13"/>
  <c r="E575" i="13"/>
  <c r="F575" i="13" s="1"/>
  <c r="D576" i="13" s="1"/>
  <c r="G574" i="13"/>
  <c r="E1315" i="20"/>
  <c r="F1315" i="20" s="1"/>
  <c r="D1316" i="20" s="1"/>
  <c r="E1588" i="20"/>
  <c r="F1588" i="20" s="1"/>
  <c r="E1043" i="20"/>
  <c r="F1043" i="20" s="1"/>
  <c r="D1044" i="20" s="1"/>
  <c r="E1494" i="20"/>
  <c r="F1494" i="20" s="1"/>
  <c r="G1618" i="13"/>
  <c r="A152" i="34"/>
  <c r="E1619" i="13"/>
  <c r="F1619" i="13" s="1"/>
  <c r="E1357" i="13"/>
  <c r="F1357" i="13" s="1"/>
  <c r="D1358" i="13" s="1"/>
  <c r="E680" i="20"/>
  <c r="F680" i="20" s="1"/>
  <c r="E502" i="20"/>
  <c r="F502" i="20" s="1"/>
  <c r="E1849" i="20"/>
  <c r="F1849" i="20" s="1"/>
  <c r="E753" i="13"/>
  <c r="F753" i="13" s="1"/>
  <c r="E1709" i="13"/>
  <c r="F1709" i="13" s="1"/>
  <c r="G139" i="13"/>
  <c r="G1708" i="13"/>
  <c r="G1356" i="13"/>
  <c r="E865" i="20"/>
  <c r="F865" i="20" s="1"/>
  <c r="E1446" i="13"/>
  <c r="F1446" i="13" s="1"/>
  <c r="D1447" i="13" s="1"/>
  <c r="E1008" i="13"/>
  <c r="F1008" i="13" s="1"/>
  <c r="E140" i="13"/>
  <c r="F140" i="13" s="1"/>
  <c r="E2031" i="20"/>
  <c r="F2031" i="20" s="1"/>
  <c r="D2032" i="20" s="1"/>
  <c r="D399" i="13" l="1"/>
  <c r="E399" i="13" s="1"/>
  <c r="F399" i="13" s="1"/>
  <c r="D400" i="13" s="1"/>
  <c r="E400" i="13" s="1"/>
  <c r="F400" i="13" s="1"/>
  <c r="G398" i="13"/>
  <c r="D836" i="13"/>
  <c r="E836" i="13" s="1"/>
  <c r="F836" i="13" s="1"/>
  <c r="G835" i="13"/>
  <c r="D754" i="13"/>
  <c r="G753" i="13"/>
  <c r="D503" i="20"/>
  <c r="D141" i="13"/>
  <c r="G140" i="13"/>
  <c r="D681" i="20"/>
  <c r="D1495" i="20"/>
  <c r="D1944" i="20"/>
  <c r="D866" i="20"/>
  <c r="D1589" i="20"/>
  <c r="D1850" i="20"/>
  <c r="D1009" i="13"/>
  <c r="G1008" i="13"/>
  <c r="D1710" i="13"/>
  <c r="G1709" i="13"/>
  <c r="D1620" i="13"/>
  <c r="G1619" i="13"/>
  <c r="D145" i="20"/>
  <c r="E2032" i="20"/>
  <c r="F2032" i="20" s="1"/>
  <c r="E1096" i="13"/>
  <c r="F1096" i="13" s="1"/>
  <c r="E576" i="13"/>
  <c r="F576" i="13" s="1"/>
  <c r="E415" i="20"/>
  <c r="F415" i="20" s="1"/>
  <c r="E1793" i="13"/>
  <c r="F1793" i="13" s="1"/>
  <c r="E1968" i="13"/>
  <c r="F1968" i="13" s="1"/>
  <c r="D1969" i="13" s="1"/>
  <c r="G1357" i="13"/>
  <c r="E318" i="13"/>
  <c r="F318" i="13" s="1"/>
  <c r="D319" i="13" s="1"/>
  <c r="E1221" i="20"/>
  <c r="F1221" i="20" s="1"/>
  <c r="E233" i="20"/>
  <c r="F233" i="20" s="1"/>
  <c r="D234" i="20" s="1"/>
  <c r="E1407" i="20"/>
  <c r="F1407" i="20" s="1"/>
  <c r="E1358" i="13"/>
  <c r="F1358" i="13" s="1"/>
  <c r="A153" i="34"/>
  <c r="B157" i="34" s="1"/>
  <c r="E1044" i="20"/>
  <c r="F1044" i="20" s="1"/>
  <c r="E1316" i="20"/>
  <c r="F1316" i="20" s="1"/>
  <c r="G575" i="13"/>
  <c r="E660" i="13"/>
  <c r="F660" i="13" s="1"/>
  <c r="E1877" i="13"/>
  <c r="F1877" i="13" s="1"/>
  <c r="E1183" i="13"/>
  <c r="F1183" i="13" s="1"/>
  <c r="D1184" i="13" s="1"/>
  <c r="E1134" i="20"/>
  <c r="F1134" i="20" s="1"/>
  <c r="D1135" i="20" s="1"/>
  <c r="E1765" i="20"/>
  <c r="F1765" i="20" s="1"/>
  <c r="G1446" i="13"/>
  <c r="E591" i="20"/>
  <c r="F591" i="20" s="1"/>
  <c r="D592" i="20" s="1"/>
  <c r="E925" i="13"/>
  <c r="F925" i="13" s="1"/>
  <c r="E957" i="20"/>
  <c r="F957" i="20" s="1"/>
  <c r="E1273" i="13"/>
  <c r="F1273" i="13" s="1"/>
  <c r="E1447" i="13"/>
  <c r="F1447" i="13" s="1"/>
  <c r="E227" i="13"/>
  <c r="F227" i="13" s="1"/>
  <c r="E485" i="13"/>
  <c r="F485" i="13" s="1"/>
  <c r="D486" i="13" s="1"/>
  <c r="E1674" i="20"/>
  <c r="F1674" i="20" s="1"/>
  <c r="E1530" i="13"/>
  <c r="F1530" i="13" s="1"/>
  <c r="D1531" i="13" s="1"/>
  <c r="E324" i="20"/>
  <c r="F324" i="20" s="1"/>
  <c r="E776" i="20"/>
  <c r="F776" i="20" s="1"/>
  <c r="G399" i="13" l="1"/>
  <c r="D416" i="20"/>
  <c r="E416" i="20" s="1"/>
  <c r="F416" i="20" s="1"/>
  <c r="D777" i="20"/>
  <c r="E777" i="20" s="1"/>
  <c r="F777" i="20" s="1"/>
  <c r="D778" i="20" s="1"/>
  <c r="D1675" i="20"/>
  <c r="E1675" i="20" s="1"/>
  <c r="F1675" i="20" s="1"/>
  <c r="D837" i="13"/>
  <c r="E837" i="13" s="1"/>
  <c r="F837" i="13" s="1"/>
  <c r="G836" i="13"/>
  <c r="D926" i="13"/>
  <c r="E926" i="13" s="1"/>
  <c r="F926" i="13" s="1"/>
  <c r="D927" i="13" s="1"/>
  <c r="G925" i="13"/>
  <c r="D1794" i="13"/>
  <c r="G1793" i="13"/>
  <c r="D1097" i="13"/>
  <c r="G1096" i="13"/>
  <c r="D401" i="13"/>
  <c r="G400" i="13"/>
  <c r="D1408" i="20"/>
  <c r="D958" i="20"/>
  <c r="D1274" i="13"/>
  <c r="G1273" i="13"/>
  <c r="D1317" i="20"/>
  <c r="D325" i="20"/>
  <c r="D1045" i="20"/>
  <c r="D2033" i="20"/>
  <c r="D1878" i="13"/>
  <c r="G1877" i="13"/>
  <c r="D228" i="13"/>
  <c r="G227" i="13"/>
  <c r="D1448" i="13"/>
  <c r="G1447" i="13"/>
  <c r="D1359" i="13"/>
  <c r="G1358" i="13"/>
  <c r="D1222" i="20"/>
  <c r="D1766" i="20"/>
  <c r="D661" i="13"/>
  <c r="G660" i="13"/>
  <c r="D577" i="13"/>
  <c r="G576" i="13"/>
  <c r="E592" i="20"/>
  <c r="F592" i="20" s="1"/>
  <c r="D593" i="20" s="1"/>
  <c r="G485" i="13"/>
  <c r="E145" i="20"/>
  <c r="F145" i="20" s="1"/>
  <c r="E681" i="20"/>
  <c r="F681" i="20" s="1"/>
  <c r="D682" i="20" s="1"/>
  <c r="E1531" i="13"/>
  <c r="F1531" i="13" s="1"/>
  <c r="E1184" i="13"/>
  <c r="F1184" i="13" s="1"/>
  <c r="D1185" i="13" s="1"/>
  <c r="E234" i="20"/>
  <c r="F234" i="20" s="1"/>
  <c r="E319" i="13"/>
  <c r="F319" i="13" s="1"/>
  <c r="E1969" i="13"/>
  <c r="F1969" i="13" s="1"/>
  <c r="D1970" i="13" s="1"/>
  <c r="E1620" i="13"/>
  <c r="F1620" i="13" s="1"/>
  <c r="D1621" i="13" s="1"/>
  <c r="E1944" i="20"/>
  <c r="F1944" i="20" s="1"/>
  <c r="E141" i="13"/>
  <c r="F141" i="13" s="1"/>
  <c r="G1530" i="13"/>
  <c r="G1183" i="13"/>
  <c r="G1968" i="13"/>
  <c r="G318" i="13"/>
  <c r="E1710" i="13"/>
  <c r="F1710" i="13" s="1"/>
  <c r="E1589" i="20"/>
  <c r="F1589" i="20" s="1"/>
  <c r="E1135" i="20"/>
  <c r="F1135" i="20" s="1"/>
  <c r="E1495" i="20"/>
  <c r="F1495" i="20" s="1"/>
  <c r="E503" i="20"/>
  <c r="F503" i="20" s="1"/>
  <c r="D504" i="20" s="1"/>
  <c r="E1009" i="13"/>
  <c r="F1009" i="13" s="1"/>
  <c r="E486" i="13"/>
  <c r="F486" i="13" s="1"/>
  <c r="E1850" i="20"/>
  <c r="F1850" i="20" s="1"/>
  <c r="A155" i="34"/>
  <c r="B155" i="34"/>
  <c r="B156" i="34"/>
  <c r="E866" i="20"/>
  <c r="F866" i="20" s="1"/>
  <c r="E754" i="13"/>
  <c r="F754" i="13" s="1"/>
  <c r="D838" i="13" l="1"/>
  <c r="E838" i="13" s="1"/>
  <c r="F838" i="13" s="1"/>
  <c r="G837" i="13"/>
  <c r="D1496" i="20"/>
  <c r="E1496" i="20" s="1"/>
  <c r="F1496" i="20" s="1"/>
  <c r="G1969" i="13"/>
  <c r="D417" i="20"/>
  <c r="D487" i="13"/>
  <c r="G486" i="13"/>
  <c r="D1532" i="13"/>
  <c r="G1531" i="13"/>
  <c r="D1711" i="13"/>
  <c r="G1710" i="13"/>
  <c r="D755" i="13"/>
  <c r="G754" i="13"/>
  <c r="D1851" i="20"/>
  <c r="D142" i="13"/>
  <c r="G141" i="13"/>
  <c r="D320" i="13"/>
  <c r="G319" i="13"/>
  <c r="D1590" i="20"/>
  <c r="D1945" i="20"/>
  <c r="D235" i="20"/>
  <c r="D146" i="20"/>
  <c r="D1676" i="20"/>
  <c r="D1010" i="13"/>
  <c r="G1009" i="13"/>
  <c r="D867" i="20"/>
  <c r="D1136" i="20"/>
  <c r="E504" i="20"/>
  <c r="F504" i="20" s="1"/>
  <c r="G926" i="13"/>
  <c r="E1185" i="13"/>
  <c r="F1185" i="13" s="1"/>
  <c r="E682" i="20"/>
  <c r="F682" i="20" s="1"/>
  <c r="D683" i="20" s="1"/>
  <c r="E2033" i="20"/>
  <c r="F2033" i="20" s="1"/>
  <c r="E778" i="20"/>
  <c r="F778" i="20" s="1"/>
  <c r="E927" i="13"/>
  <c r="F927" i="13" s="1"/>
  <c r="D928" i="13" s="1"/>
  <c r="E1448" i="13"/>
  <c r="F1448" i="13" s="1"/>
  <c r="E1317" i="20"/>
  <c r="F1317" i="20" s="1"/>
  <c r="E1408" i="20"/>
  <c r="F1408" i="20" s="1"/>
  <c r="D1409" i="20" s="1"/>
  <c r="E593" i="20"/>
  <c r="F593" i="20" s="1"/>
  <c r="D594" i="20" s="1"/>
  <c r="E1766" i="20"/>
  <c r="F1766" i="20" s="1"/>
  <c r="E228" i="13"/>
  <c r="F228" i="13" s="1"/>
  <c r="D229" i="13" s="1"/>
  <c r="E1045" i="20"/>
  <c r="F1045" i="20" s="1"/>
  <c r="E1274" i="13"/>
  <c r="F1274" i="13" s="1"/>
  <c r="E401" i="13"/>
  <c r="F401" i="13" s="1"/>
  <c r="A156" i="34"/>
  <c r="E1621" i="13"/>
  <c r="F1621" i="13" s="1"/>
  <c r="E1970" i="13"/>
  <c r="F1970" i="13" s="1"/>
  <c r="E577" i="13"/>
  <c r="F577" i="13" s="1"/>
  <c r="E1222" i="20"/>
  <c r="F1222" i="20" s="1"/>
  <c r="E1878" i="13"/>
  <c r="F1878" i="13" s="1"/>
  <c r="D1879" i="13" s="1"/>
  <c r="E1097" i="13"/>
  <c r="F1097" i="13" s="1"/>
  <c r="D1098" i="13" s="1"/>
  <c r="G1620" i="13"/>
  <c r="E325" i="20"/>
  <c r="F325" i="20" s="1"/>
  <c r="E958" i="20"/>
  <c r="F958" i="20" s="1"/>
  <c r="D959" i="20" s="1"/>
  <c r="G1184" i="13"/>
  <c r="E661" i="13"/>
  <c r="F661" i="13" s="1"/>
  <c r="E1359" i="13"/>
  <c r="F1359" i="13" s="1"/>
  <c r="E1794" i="13"/>
  <c r="F1794" i="13" s="1"/>
  <c r="D1795" i="13" s="1"/>
  <c r="D1223" i="20" l="1"/>
  <c r="E1223" i="20" s="1"/>
  <c r="F1223" i="20" s="1"/>
  <c r="D1224" i="20" s="1"/>
  <c r="D1046" i="20"/>
  <c r="E1046" i="20" s="1"/>
  <c r="F1046" i="20" s="1"/>
  <c r="D1318" i="20"/>
  <c r="E1318" i="20" s="1"/>
  <c r="F1318" i="20" s="1"/>
  <c r="D1767" i="20"/>
  <c r="E1767" i="20" s="1"/>
  <c r="F1767" i="20" s="1"/>
  <c r="D1497" i="20"/>
  <c r="E1497" i="20" s="1"/>
  <c r="F1497" i="20" s="1"/>
  <c r="D779" i="20"/>
  <c r="E779" i="20" s="1"/>
  <c r="F779" i="20" s="1"/>
  <c r="D578" i="13"/>
  <c r="G577" i="13"/>
  <c r="D1971" i="13"/>
  <c r="G1970" i="13"/>
  <c r="D402" i="13"/>
  <c r="G401" i="13"/>
  <c r="D1622" i="13"/>
  <c r="G1621" i="13"/>
  <c r="D1275" i="13"/>
  <c r="G1274" i="13"/>
  <c r="D1186" i="13"/>
  <c r="G1185" i="13"/>
  <c r="D326" i="20"/>
  <c r="D1360" i="13"/>
  <c r="G1359" i="13"/>
  <c r="D839" i="13"/>
  <c r="G838" i="13"/>
  <c r="D1449" i="13"/>
  <c r="G1448" i="13"/>
  <c r="D2034" i="20"/>
  <c r="D505" i="20"/>
  <c r="D662" i="13"/>
  <c r="G661" i="13"/>
  <c r="E1879" i="13"/>
  <c r="F1879" i="13" s="1"/>
  <c r="E1409" i="20"/>
  <c r="F1409" i="20" s="1"/>
  <c r="E1711" i="13"/>
  <c r="F1711" i="13" s="1"/>
  <c r="D1712" i="13" s="1"/>
  <c r="G1878" i="13"/>
  <c r="A157" i="34"/>
  <c r="G228" i="13"/>
  <c r="G927" i="13"/>
  <c r="E1136" i="20"/>
  <c r="F1136" i="20" s="1"/>
  <c r="E1676" i="20"/>
  <c r="F1676" i="20" s="1"/>
  <c r="E142" i="13"/>
  <c r="F142" i="13" s="1"/>
  <c r="E959" i="20"/>
  <c r="F959" i="20" s="1"/>
  <c r="E229" i="13"/>
  <c r="F229" i="13" s="1"/>
  <c r="E594" i="20"/>
  <c r="F594" i="20" s="1"/>
  <c r="E928" i="13"/>
  <c r="F928" i="13" s="1"/>
  <c r="E683" i="20"/>
  <c r="F683" i="20" s="1"/>
  <c r="E1945" i="20"/>
  <c r="F1945" i="20" s="1"/>
  <c r="E1532" i="13"/>
  <c r="F1532" i="13" s="1"/>
  <c r="E867" i="20"/>
  <c r="F867" i="20" s="1"/>
  <c r="E146" i="20"/>
  <c r="F146" i="20" s="1"/>
  <c r="E1851" i="20"/>
  <c r="F1851" i="20" s="1"/>
  <c r="D1852" i="20" s="1"/>
  <c r="E487" i="13"/>
  <c r="F487" i="13" s="1"/>
  <c r="G1794" i="13"/>
  <c r="E1098" i="13"/>
  <c r="F1098" i="13" s="1"/>
  <c r="E1590" i="20"/>
  <c r="F1590" i="20" s="1"/>
  <c r="G1097" i="13"/>
  <c r="E1010" i="13"/>
  <c r="F1010" i="13" s="1"/>
  <c r="E755" i="13"/>
  <c r="F755" i="13" s="1"/>
  <c r="E1795" i="13"/>
  <c r="F1795" i="13" s="1"/>
  <c r="D1796" i="13" s="1"/>
  <c r="E235" i="20"/>
  <c r="F235" i="20" s="1"/>
  <c r="E320" i="13"/>
  <c r="F320" i="13" s="1"/>
  <c r="E417" i="20"/>
  <c r="F417" i="20" s="1"/>
  <c r="D1533" i="13" l="1"/>
  <c r="E1533" i="13" s="1"/>
  <c r="F1533" i="13" s="1"/>
  <c r="D1534" i="13" s="1"/>
  <c r="G1532" i="13"/>
  <c r="D321" i="13"/>
  <c r="E321" i="13" s="1"/>
  <c r="F321" i="13" s="1"/>
  <c r="G320" i="13"/>
  <c r="D1410" i="20"/>
  <c r="E1410" i="20" s="1"/>
  <c r="F1410" i="20" s="1"/>
  <c r="D236" i="20"/>
  <c r="E236" i="20" s="1"/>
  <c r="F236" i="20" s="1"/>
  <c r="G1711" i="13"/>
  <c r="D756" i="13"/>
  <c r="G755" i="13"/>
  <c r="D1880" i="13"/>
  <c r="G1879" i="13"/>
  <c r="D1946" i="20"/>
  <c r="D143" i="13"/>
  <c r="G142" i="13"/>
  <c r="D488" i="13"/>
  <c r="G487" i="13"/>
  <c r="D684" i="20"/>
  <c r="D1677" i="20"/>
  <c r="D780" i="20"/>
  <c r="D147" i="20"/>
  <c r="D929" i="13"/>
  <c r="G928" i="13"/>
  <c r="D1137" i="20"/>
  <c r="D1319" i="20"/>
  <c r="D1011" i="13"/>
  <c r="G1010" i="13"/>
  <c r="D868" i="20"/>
  <c r="D595" i="20"/>
  <c r="D1768" i="20"/>
  <c r="D1591" i="20"/>
  <c r="D1099" i="13"/>
  <c r="G1098" i="13"/>
  <c r="D230" i="13"/>
  <c r="G229" i="13"/>
  <c r="D1498" i="20"/>
  <c r="D418" i="20"/>
  <c r="D1047" i="20"/>
  <c r="D960" i="20"/>
  <c r="E1796" i="13"/>
  <c r="F1796" i="13" s="1"/>
  <c r="D1797" i="13" s="1"/>
  <c r="E1360" i="13"/>
  <c r="F1360" i="13" s="1"/>
  <c r="D1361" i="13" s="1"/>
  <c r="E1852" i="20"/>
  <c r="F1852" i="20" s="1"/>
  <c r="E1622" i="13"/>
  <c r="F1622" i="13" s="1"/>
  <c r="E2034" i="20"/>
  <c r="F2034" i="20" s="1"/>
  <c r="E326" i="20"/>
  <c r="F326" i="20" s="1"/>
  <c r="E402" i="13"/>
  <c r="F402" i="13" s="1"/>
  <c r="E1224" i="20"/>
  <c r="F1224" i="20" s="1"/>
  <c r="E662" i="13"/>
  <c r="F662" i="13" s="1"/>
  <c r="D663" i="13" s="1"/>
  <c r="E1449" i="13"/>
  <c r="F1449" i="13" s="1"/>
  <c r="D1450" i="13" s="1"/>
  <c r="E1712" i="13"/>
  <c r="F1712" i="13" s="1"/>
  <c r="E1186" i="13"/>
  <c r="F1186" i="13" s="1"/>
  <c r="E1971" i="13"/>
  <c r="F1971" i="13" s="1"/>
  <c r="A159" i="34"/>
  <c r="A161" i="34" s="1"/>
  <c r="A162" i="34" s="1"/>
  <c r="A163" i="34" s="1"/>
  <c r="A166" i="34" s="1"/>
  <c r="E839" i="13"/>
  <c r="F839" i="13" s="1"/>
  <c r="G1795" i="13"/>
  <c r="E505" i="20"/>
  <c r="F505" i="20" s="1"/>
  <c r="D506" i="20" s="1"/>
  <c r="E1275" i="13"/>
  <c r="F1275" i="13" s="1"/>
  <c r="D1276" i="13" s="1"/>
  <c r="E578" i="13"/>
  <c r="F578" i="13" s="1"/>
  <c r="D579" i="13" s="1"/>
  <c r="D1972" i="13" l="1"/>
  <c r="E1972" i="13" s="1"/>
  <c r="F1972" i="13" s="1"/>
  <c r="G1971" i="13"/>
  <c r="G1533" i="13"/>
  <c r="D1853" i="20"/>
  <c r="D403" i="13"/>
  <c r="G402" i="13"/>
  <c r="D327" i="20"/>
  <c r="D1225" i="20"/>
  <c r="D1411" i="20"/>
  <c r="D237" i="20"/>
  <c r="D1713" i="13"/>
  <c r="G1712" i="13"/>
  <c r="D840" i="13"/>
  <c r="G839" i="13"/>
  <c r="D1187" i="13"/>
  <c r="G1186" i="13"/>
  <c r="D322" i="13"/>
  <c r="G321" i="13"/>
  <c r="D2035" i="20"/>
  <c r="D1623" i="13"/>
  <c r="G1622" i="13"/>
  <c r="E1450" i="13"/>
  <c r="F1450" i="13" s="1"/>
  <c r="D1451" i="13" s="1"/>
  <c r="G1275" i="13"/>
  <c r="G1449" i="13"/>
  <c r="G1796" i="13"/>
  <c r="E1047" i="20"/>
  <c r="F1047" i="20" s="1"/>
  <c r="E230" i="13"/>
  <c r="F230" i="13" s="1"/>
  <c r="E1768" i="20"/>
  <c r="F1768" i="20" s="1"/>
  <c r="D1769" i="20" s="1"/>
  <c r="E1011" i="13"/>
  <c r="F1011" i="13" s="1"/>
  <c r="D1012" i="13" s="1"/>
  <c r="E929" i="13"/>
  <c r="F929" i="13" s="1"/>
  <c r="D930" i="13" s="1"/>
  <c r="E143" i="13"/>
  <c r="F143" i="13" s="1"/>
  <c r="E663" i="13"/>
  <c r="F663" i="13" s="1"/>
  <c r="E1361" i="13"/>
  <c r="F1361" i="13" s="1"/>
  <c r="D1362" i="13" s="1"/>
  <c r="E1099" i="13"/>
  <c r="F1099" i="13" s="1"/>
  <c r="D1100" i="13" s="1"/>
  <c r="E579" i="13"/>
  <c r="F579" i="13" s="1"/>
  <c r="D580" i="13" s="1"/>
  <c r="E1276" i="13"/>
  <c r="F1276" i="13" s="1"/>
  <c r="D1277" i="13" s="1"/>
  <c r="E418" i="20"/>
  <c r="F418" i="20" s="1"/>
  <c r="E595" i="20"/>
  <c r="F595" i="20" s="1"/>
  <c r="E1319" i="20"/>
  <c r="F1319" i="20" s="1"/>
  <c r="E147" i="20"/>
  <c r="F147" i="20" s="1"/>
  <c r="E1946" i="20"/>
  <c r="F1946" i="20" s="1"/>
  <c r="G662" i="13"/>
  <c r="G1360" i="13"/>
  <c r="E684" i="20"/>
  <c r="F684" i="20" s="1"/>
  <c r="D685" i="20" s="1"/>
  <c r="A167" i="34"/>
  <c r="B171" i="34"/>
  <c r="E1797" i="13"/>
  <c r="F1797" i="13" s="1"/>
  <c r="D1798" i="13" s="1"/>
  <c r="E1534" i="13"/>
  <c r="F1534" i="13" s="1"/>
  <c r="E960" i="20"/>
  <c r="F960" i="20" s="1"/>
  <c r="E1591" i="20"/>
  <c r="F1591" i="20" s="1"/>
  <c r="E1880" i="13"/>
  <c r="F1880" i="13" s="1"/>
  <c r="E1677" i="20"/>
  <c r="F1677" i="20" s="1"/>
  <c r="D1678" i="20" s="1"/>
  <c r="E1498" i="20"/>
  <c r="F1498" i="20" s="1"/>
  <c r="D1499" i="20" s="1"/>
  <c r="E868" i="20"/>
  <c r="F868" i="20" s="1"/>
  <c r="D869" i="20" s="1"/>
  <c r="E1137" i="20"/>
  <c r="F1137" i="20" s="1"/>
  <c r="E780" i="20"/>
  <c r="F780" i="20" s="1"/>
  <c r="E488" i="13"/>
  <c r="F488" i="13" s="1"/>
  <c r="D489" i="13" s="1"/>
  <c r="E506" i="20"/>
  <c r="F506" i="20" s="1"/>
  <c r="G578" i="13"/>
  <c r="E756" i="13"/>
  <c r="F756" i="13" s="1"/>
  <c r="D1048" i="20" l="1"/>
  <c r="E1048" i="20" s="1"/>
  <c r="F1048" i="20" s="1"/>
  <c r="D231" i="13"/>
  <c r="E231" i="13" s="1"/>
  <c r="F231" i="13" s="1"/>
  <c r="G230" i="13"/>
  <c r="D961" i="20"/>
  <c r="E961" i="20" s="1"/>
  <c r="F961" i="20" s="1"/>
  <c r="D664" i="13"/>
  <c r="G663" i="13"/>
  <c r="D148" i="20"/>
  <c r="D781" i="20"/>
  <c r="D1320" i="20"/>
  <c r="D1947" i="20"/>
  <c r="D1138" i="20"/>
  <c r="D596" i="20"/>
  <c r="D144" i="13"/>
  <c r="G143" i="13"/>
  <c r="D1881" i="13"/>
  <c r="G1880" i="13"/>
  <c r="D1535" i="13"/>
  <c r="G1534" i="13"/>
  <c r="D507" i="20"/>
  <c r="D419" i="20"/>
  <c r="D757" i="13"/>
  <c r="G756" i="13"/>
  <c r="D1592" i="20"/>
  <c r="D1973" i="13"/>
  <c r="G1972" i="13"/>
  <c r="E869" i="20"/>
  <c r="F869" i="20" s="1"/>
  <c r="E1678" i="20"/>
  <c r="F1678" i="20" s="1"/>
  <c r="E580" i="13"/>
  <c r="F580" i="13" s="1"/>
  <c r="D581" i="13" s="1"/>
  <c r="E930" i="13"/>
  <c r="F930" i="13" s="1"/>
  <c r="E1769" i="20"/>
  <c r="F1769" i="20" s="1"/>
  <c r="E1451" i="13"/>
  <c r="F1451" i="13" s="1"/>
  <c r="E322" i="13"/>
  <c r="F322" i="13" s="1"/>
  <c r="G1099" i="13"/>
  <c r="G1450" i="13"/>
  <c r="E237" i="20"/>
  <c r="F237" i="20" s="1"/>
  <c r="G488" i="13"/>
  <c r="G1797" i="13"/>
  <c r="G1011" i="13"/>
  <c r="E1187" i="13"/>
  <c r="F1187" i="13" s="1"/>
  <c r="D1188" i="13" s="1"/>
  <c r="E327" i="20"/>
  <c r="F327" i="20" s="1"/>
  <c r="E1798" i="13"/>
  <c r="F1798" i="13" s="1"/>
  <c r="E685" i="20"/>
  <c r="F685" i="20" s="1"/>
  <c r="D686" i="20" s="1"/>
  <c r="E1277" i="13"/>
  <c r="F1277" i="13" s="1"/>
  <c r="E1100" i="13"/>
  <c r="F1100" i="13" s="1"/>
  <c r="E1012" i="13"/>
  <c r="F1012" i="13" s="1"/>
  <c r="E1623" i="13"/>
  <c r="F1623" i="13" s="1"/>
  <c r="G1276" i="13"/>
  <c r="E1362" i="13"/>
  <c r="F1362" i="13" s="1"/>
  <c r="D1363" i="13" s="1"/>
  <c r="E840" i="13"/>
  <c r="F840" i="13" s="1"/>
  <c r="D841" i="13" s="1"/>
  <c r="E1411" i="20"/>
  <c r="F1411" i="20" s="1"/>
  <c r="E403" i="13"/>
  <c r="F403" i="13" s="1"/>
  <c r="E489" i="13"/>
  <c r="F489" i="13" s="1"/>
  <c r="G1361" i="13"/>
  <c r="E1499" i="20"/>
  <c r="F1499" i="20" s="1"/>
  <c r="A168" i="34"/>
  <c r="B172" i="34"/>
  <c r="G579" i="13"/>
  <c r="E2035" i="20"/>
  <c r="F2035" i="20" s="1"/>
  <c r="D2036" i="20" s="1"/>
  <c r="E1713" i="13"/>
  <c r="F1713" i="13" s="1"/>
  <c r="G929" i="13"/>
  <c r="E1225" i="20"/>
  <c r="F1225" i="20" s="1"/>
  <c r="E1853" i="20"/>
  <c r="F1853" i="20" s="1"/>
  <c r="D238" i="20" l="1"/>
  <c r="E238" i="20" s="1"/>
  <c r="F238" i="20" s="1"/>
  <c r="D239" i="20" s="1"/>
  <c r="D962" i="20"/>
  <c r="E962" i="20" s="1"/>
  <c r="F962" i="20" s="1"/>
  <c r="D963" i="20" s="1"/>
  <c r="D1500" i="20"/>
  <c r="E1500" i="20" s="1"/>
  <c r="F1500" i="20" s="1"/>
  <c r="D1714" i="13"/>
  <c r="E1714" i="13" s="1"/>
  <c r="G1713" i="13"/>
  <c r="D490" i="13"/>
  <c r="E490" i="13" s="1"/>
  <c r="G489" i="13"/>
  <c r="D1770" i="20"/>
  <c r="E1770" i="20" s="1"/>
  <c r="F1770" i="20" s="1"/>
  <c r="D870" i="20"/>
  <c r="D1854" i="20"/>
  <c r="D1049" i="20"/>
  <c r="D1624" i="13"/>
  <c r="G1623" i="13"/>
  <c r="D1799" i="13"/>
  <c r="G1798" i="13"/>
  <c r="D328" i="20"/>
  <c r="D1226" i="20"/>
  <c r="D1013" i="13"/>
  <c r="G1012" i="13"/>
  <c r="D931" i="13"/>
  <c r="G930" i="13"/>
  <c r="D1412" i="20"/>
  <c r="D1101" i="13"/>
  <c r="G1100" i="13"/>
  <c r="D323" i="13"/>
  <c r="G322" i="13"/>
  <c r="D404" i="13"/>
  <c r="G403" i="13"/>
  <c r="D1278" i="13"/>
  <c r="G1277" i="13"/>
  <c r="D232" i="13"/>
  <c r="G231" i="13"/>
  <c r="D1452" i="13"/>
  <c r="G1451" i="13"/>
  <c r="D1679" i="20"/>
  <c r="E686" i="20"/>
  <c r="F686" i="20" s="1"/>
  <c r="D687" i="20" s="1"/>
  <c r="E581" i="13"/>
  <c r="F581" i="13" s="1"/>
  <c r="E2036" i="20"/>
  <c r="F2036" i="20" s="1"/>
  <c r="E1881" i="13"/>
  <c r="F1881" i="13" s="1"/>
  <c r="E1138" i="20"/>
  <c r="F1138" i="20" s="1"/>
  <c r="E841" i="13"/>
  <c r="F841" i="13" s="1"/>
  <c r="E1188" i="13"/>
  <c r="F1188" i="13" s="1"/>
  <c r="D1189" i="13" s="1"/>
  <c r="E1973" i="13"/>
  <c r="F1973" i="13" s="1"/>
  <c r="E419" i="20"/>
  <c r="F419" i="20" s="1"/>
  <c r="E781" i="20"/>
  <c r="F781" i="20" s="1"/>
  <c r="G840" i="13"/>
  <c r="E144" i="13"/>
  <c r="F144" i="13" s="1"/>
  <c r="D145" i="13" s="1"/>
  <c r="G1187" i="13"/>
  <c r="E1947" i="20"/>
  <c r="F1947" i="20" s="1"/>
  <c r="E1363" i="13"/>
  <c r="F1363" i="13" s="1"/>
  <c r="E1592" i="20"/>
  <c r="F1592" i="20" s="1"/>
  <c r="D1593" i="20" s="1"/>
  <c r="E507" i="20"/>
  <c r="F507" i="20" s="1"/>
  <c r="D508" i="20" s="1"/>
  <c r="E148" i="20"/>
  <c r="F148" i="20" s="1"/>
  <c r="A171" i="34"/>
  <c r="A172" i="34" s="1"/>
  <c r="A173" i="34" s="1"/>
  <c r="A174" i="34" s="1"/>
  <c r="A183" i="34" s="1"/>
  <c r="A184" i="34" s="1"/>
  <c r="A185" i="34" s="1"/>
  <c r="A186" i="34" s="1"/>
  <c r="A187" i="34" s="1"/>
  <c r="A188" i="34" s="1"/>
  <c r="B173" i="34"/>
  <c r="E596" i="20"/>
  <c r="F596" i="20" s="1"/>
  <c r="D597" i="20" s="1"/>
  <c r="G1362" i="13"/>
  <c r="G580" i="13"/>
  <c r="E757" i="13"/>
  <c r="F757" i="13" s="1"/>
  <c r="E1535" i="13"/>
  <c r="F1535" i="13" s="1"/>
  <c r="E1320" i="20"/>
  <c r="F1320" i="20" s="1"/>
  <c r="E664" i="13"/>
  <c r="F664" i="13" s="1"/>
  <c r="D665" i="13" s="1"/>
  <c r="D1139" i="20" l="1"/>
  <c r="E1139" i="20" s="1"/>
  <c r="F1139" i="20" s="1"/>
  <c r="F490" i="13"/>
  <c r="D491" i="13" s="1"/>
  <c r="E491" i="13" s="1"/>
  <c r="F491" i="13" s="1"/>
  <c r="D492" i="13" s="1"/>
  <c r="D149" i="20"/>
  <c r="E149" i="20" s="1"/>
  <c r="F149" i="20" s="1"/>
  <c r="D150" i="20" s="1"/>
  <c r="F1714" i="13"/>
  <c r="D1715" i="13" s="1"/>
  <c r="E1715" i="13" s="1"/>
  <c r="F1715" i="13" s="1"/>
  <c r="D1716" i="13" s="1"/>
  <c r="D842" i="13"/>
  <c r="E842" i="13" s="1"/>
  <c r="F842" i="13" s="1"/>
  <c r="G841" i="13"/>
  <c r="D1948" i="20"/>
  <c r="D1974" i="13"/>
  <c r="G1973" i="13"/>
  <c r="D1501" i="20"/>
  <c r="D1771" i="20"/>
  <c r="D420" i="20"/>
  <c r="D2037" i="20"/>
  <c r="D1364" i="13"/>
  <c r="G1363" i="13"/>
  <c r="D1321" i="20"/>
  <c r="D758" i="13"/>
  <c r="G757" i="13"/>
  <c r="D782" i="20"/>
  <c r="D1882" i="13"/>
  <c r="G1881" i="13"/>
  <c r="D1536" i="13"/>
  <c r="G1535" i="13"/>
  <c r="D582" i="13"/>
  <c r="G581" i="13"/>
  <c r="G664" i="13"/>
  <c r="E145" i="13"/>
  <c r="F145" i="13" s="1"/>
  <c r="E687" i="20"/>
  <c r="F687" i="20" s="1"/>
  <c r="E1412" i="20"/>
  <c r="F1412" i="20" s="1"/>
  <c r="D1413" i="20" s="1"/>
  <c r="E931" i="13"/>
  <c r="F931" i="13" s="1"/>
  <c r="E328" i="20"/>
  <c r="F328" i="20" s="1"/>
  <c r="E508" i="20"/>
  <c r="F508" i="20" s="1"/>
  <c r="E1189" i="13"/>
  <c r="F1189" i="13" s="1"/>
  <c r="E1452" i="13"/>
  <c r="F1452" i="13" s="1"/>
  <c r="E323" i="13"/>
  <c r="F323" i="13" s="1"/>
  <c r="D324" i="13" s="1"/>
  <c r="E1049" i="20"/>
  <c r="F1049" i="20" s="1"/>
  <c r="E1013" i="13"/>
  <c r="F1013" i="13" s="1"/>
  <c r="D1014" i="13" s="1"/>
  <c r="E1799" i="13"/>
  <c r="F1799" i="13" s="1"/>
  <c r="E1854" i="20"/>
  <c r="F1854" i="20" s="1"/>
  <c r="E597" i="20"/>
  <c r="F597" i="20" s="1"/>
  <c r="E404" i="13"/>
  <c r="F404" i="13" s="1"/>
  <c r="D405" i="13" s="1"/>
  <c r="E1593" i="20"/>
  <c r="F1593" i="20" s="1"/>
  <c r="D1594" i="20" s="1"/>
  <c r="G1188" i="13"/>
  <c r="E232" i="13"/>
  <c r="F232" i="13" s="1"/>
  <c r="D233" i="13" s="1"/>
  <c r="E1101" i="13"/>
  <c r="F1101" i="13" s="1"/>
  <c r="E963" i="20"/>
  <c r="F963" i="20" s="1"/>
  <c r="D964" i="20" s="1"/>
  <c r="E1624" i="13"/>
  <c r="F1624" i="13" s="1"/>
  <c r="E665" i="13"/>
  <c r="F665" i="13" s="1"/>
  <c r="E239" i="20"/>
  <c r="F239" i="20" s="1"/>
  <c r="E1679" i="20"/>
  <c r="F1679" i="20" s="1"/>
  <c r="A190" i="34"/>
  <c r="B213" i="34"/>
  <c r="G144" i="13"/>
  <c r="E1278" i="13"/>
  <c r="F1278" i="13" s="1"/>
  <c r="E1226" i="20"/>
  <c r="F1226" i="20" s="1"/>
  <c r="E870" i="20"/>
  <c r="F870" i="20" s="1"/>
  <c r="G490" i="13" l="1"/>
  <c r="G1714" i="13"/>
  <c r="D932" i="13"/>
  <c r="E932" i="13" s="1"/>
  <c r="F932" i="13" s="1"/>
  <c r="G931" i="13"/>
  <c r="D1102" i="13"/>
  <c r="G1101" i="13"/>
  <c r="D666" i="13"/>
  <c r="E666" i="13" s="1"/>
  <c r="F666" i="13" s="1"/>
  <c r="D667" i="13" s="1"/>
  <c r="G665" i="13"/>
  <c r="D871" i="20"/>
  <c r="E871" i="20" s="1"/>
  <c r="F871" i="20" s="1"/>
  <c r="D872" i="20" s="1"/>
  <c r="D329" i="20"/>
  <c r="E329" i="20" s="1"/>
  <c r="F329" i="20" s="1"/>
  <c r="G491" i="13"/>
  <c r="D1680" i="20"/>
  <c r="D1800" i="13"/>
  <c r="G1799" i="13"/>
  <c r="D1050" i="20"/>
  <c r="D1453" i="13"/>
  <c r="G1452" i="13"/>
  <c r="D1140" i="20"/>
  <c r="D146" i="13"/>
  <c r="G145" i="13"/>
  <c r="D509" i="20"/>
  <c r="D240" i="20"/>
  <c r="D843" i="13"/>
  <c r="G842" i="13"/>
  <c r="D688" i="20"/>
  <c r="D1227" i="20"/>
  <c r="D1190" i="13"/>
  <c r="G1189" i="13"/>
  <c r="D1279" i="13"/>
  <c r="G1278" i="13"/>
  <c r="D598" i="20"/>
  <c r="D1625" i="13"/>
  <c r="G1624" i="13"/>
  <c r="D1855" i="20"/>
  <c r="E233" i="13"/>
  <c r="F233" i="13" s="1"/>
  <c r="E582" i="13"/>
  <c r="F582" i="13" s="1"/>
  <c r="A193" i="34"/>
  <c r="A194" i="34" s="1"/>
  <c r="A195" i="34" s="1"/>
  <c r="A196" i="34" s="1"/>
  <c r="A197" i="34" s="1"/>
  <c r="A198" i="34" s="1"/>
  <c r="A199" i="34" s="1"/>
  <c r="B187" i="34"/>
  <c r="E758" i="13"/>
  <c r="F758" i="13" s="1"/>
  <c r="D759" i="13" s="1"/>
  <c r="E2037" i="20"/>
  <c r="F2037" i="20" s="1"/>
  <c r="D2038" i="20" s="1"/>
  <c r="G232" i="13"/>
  <c r="E492" i="13"/>
  <c r="F492" i="13" s="1"/>
  <c r="D493" i="13" s="1"/>
  <c r="E1536" i="13"/>
  <c r="F1536" i="13" s="1"/>
  <c r="D1537" i="13" s="1"/>
  <c r="E1501" i="20"/>
  <c r="F1501" i="20" s="1"/>
  <c r="D1502" i="20" s="1"/>
  <c r="E150" i="20"/>
  <c r="F150" i="20" s="1"/>
  <c r="E1594" i="20"/>
  <c r="F1594" i="20" s="1"/>
  <c r="D1595" i="20" s="1"/>
  <c r="E405" i="13"/>
  <c r="F405" i="13" s="1"/>
  <c r="E1014" i="13"/>
  <c r="F1014" i="13" s="1"/>
  <c r="D1015" i="13" s="1"/>
  <c r="E1413" i="20"/>
  <c r="F1413" i="20" s="1"/>
  <c r="D1414" i="20" s="1"/>
  <c r="G323" i="13"/>
  <c r="E1882" i="13"/>
  <c r="F1882" i="13" s="1"/>
  <c r="D1883" i="13" s="1"/>
  <c r="E1321" i="20"/>
  <c r="F1321" i="20" s="1"/>
  <c r="E420" i="20"/>
  <c r="F420" i="20" s="1"/>
  <c r="E1974" i="13"/>
  <c r="F1974" i="13" s="1"/>
  <c r="D1975" i="13" s="1"/>
  <c r="E964" i="20"/>
  <c r="F964" i="20" s="1"/>
  <c r="E1716" i="13"/>
  <c r="F1716" i="13" s="1"/>
  <c r="G404" i="13"/>
  <c r="G1013" i="13"/>
  <c r="E324" i="13"/>
  <c r="F324" i="13" s="1"/>
  <c r="D325" i="13" s="1"/>
  <c r="G1715" i="13"/>
  <c r="E1364" i="13"/>
  <c r="F1364" i="13" s="1"/>
  <c r="E782" i="20"/>
  <c r="F782" i="20" s="1"/>
  <c r="D783" i="20" s="1"/>
  <c r="E1771" i="20"/>
  <c r="F1771" i="20" s="1"/>
  <c r="E1948" i="20"/>
  <c r="F1948" i="20" s="1"/>
  <c r="D1949" i="20" s="1"/>
  <c r="E1102" i="13" l="1"/>
  <c r="F1102" i="13" s="1"/>
  <c r="D965" i="20"/>
  <c r="E965" i="20" s="1"/>
  <c r="F965" i="20" s="1"/>
  <c r="D1322" i="20"/>
  <c r="E1322" i="20" s="1"/>
  <c r="F1322" i="20" s="1"/>
  <c r="D1323" i="20" s="1"/>
  <c r="D151" i="20"/>
  <c r="E151" i="20" s="1"/>
  <c r="F151" i="20" s="1"/>
  <c r="D152" i="20" s="1"/>
  <c r="D421" i="20"/>
  <c r="E421" i="20" s="1"/>
  <c r="F421" i="20" s="1"/>
  <c r="D422" i="20" s="1"/>
  <c r="G324" i="13"/>
  <c r="D1365" i="13"/>
  <c r="G1364" i="13"/>
  <c r="D933" i="13"/>
  <c r="G932" i="13"/>
  <c r="D330" i="20"/>
  <c r="D406" i="13"/>
  <c r="G405" i="13"/>
  <c r="D1717" i="13"/>
  <c r="G1716" i="13"/>
  <c r="D583" i="13"/>
  <c r="G582" i="13"/>
  <c r="D234" i="13"/>
  <c r="G233" i="13"/>
  <c r="D1772" i="20"/>
  <c r="E1595" i="20"/>
  <c r="F1595" i="20" s="1"/>
  <c r="E667" i="13"/>
  <c r="F667" i="13" s="1"/>
  <c r="E1855" i="20"/>
  <c r="F1855" i="20" s="1"/>
  <c r="E146" i="13"/>
  <c r="F146" i="13" s="1"/>
  <c r="D147" i="13" s="1"/>
  <c r="E1975" i="13"/>
  <c r="F1975" i="13" s="1"/>
  <c r="G666" i="13"/>
  <c r="E1279" i="13"/>
  <c r="F1279" i="13" s="1"/>
  <c r="E688" i="20"/>
  <c r="F688" i="20" s="1"/>
  <c r="E509" i="20"/>
  <c r="F509" i="20" s="1"/>
  <c r="E2038" i="20"/>
  <c r="F2038" i="20" s="1"/>
  <c r="D2039" i="20" s="1"/>
  <c r="E1190" i="13"/>
  <c r="F1190" i="13" s="1"/>
  <c r="G1014" i="13"/>
  <c r="E1625" i="13"/>
  <c r="F1625" i="13" s="1"/>
  <c r="E1502" i="20"/>
  <c r="F1502" i="20" s="1"/>
  <c r="E493" i="13"/>
  <c r="F493" i="13" s="1"/>
  <c r="D494" i="13" s="1"/>
  <c r="E759" i="13"/>
  <c r="F759" i="13" s="1"/>
  <c r="E843" i="13"/>
  <c r="F843" i="13" s="1"/>
  <c r="E1414" i="20"/>
  <c r="F1414" i="20" s="1"/>
  <c r="G492" i="13"/>
  <c r="E872" i="20"/>
  <c r="F872" i="20" s="1"/>
  <c r="G758" i="13"/>
  <c r="E1800" i="13"/>
  <c r="F1800" i="13" s="1"/>
  <c r="D1801" i="13" s="1"/>
  <c r="E1015" i="13"/>
  <c r="F1015" i="13" s="1"/>
  <c r="G1882" i="13"/>
  <c r="E1050" i="20"/>
  <c r="F1050" i="20" s="1"/>
  <c r="E783" i="20"/>
  <c r="F783" i="20" s="1"/>
  <c r="E1537" i="13"/>
  <c r="F1537" i="13" s="1"/>
  <c r="A202" i="34"/>
  <c r="B229" i="34"/>
  <c r="E241" i="2"/>
  <c r="E1227" i="20"/>
  <c r="F1227" i="20" s="1"/>
  <c r="E240" i="20"/>
  <c r="F240" i="20" s="1"/>
  <c r="E1140" i="20"/>
  <c r="F1140" i="20" s="1"/>
  <c r="E325" i="13"/>
  <c r="F325" i="13" s="1"/>
  <c r="E598" i="20"/>
  <c r="F598" i="20" s="1"/>
  <c r="E1883" i="13"/>
  <c r="F1883" i="13" s="1"/>
  <c r="E1949" i="20"/>
  <c r="F1949" i="20" s="1"/>
  <c r="G1974" i="13"/>
  <c r="G1536" i="13"/>
  <c r="E1453" i="13"/>
  <c r="F1453" i="13" s="1"/>
  <c r="E1680" i="20"/>
  <c r="F1680" i="20" s="1"/>
  <c r="D1681" i="20" s="1"/>
  <c r="D1103" i="13" l="1"/>
  <c r="E1103" i="13" s="1"/>
  <c r="F1103" i="13" s="1"/>
  <c r="D1104" i="13" s="1"/>
  <c r="G1102" i="13"/>
  <c r="D1280" i="13"/>
  <c r="E1280" i="13" s="1"/>
  <c r="F1280" i="13" s="1"/>
  <c r="G1279" i="13"/>
  <c r="D510" i="20"/>
  <c r="E510" i="20" s="1"/>
  <c r="F510" i="20" s="1"/>
  <c r="D241" i="20"/>
  <c r="E241" i="20" s="1"/>
  <c r="F241" i="20" s="1"/>
  <c r="D1141" i="20"/>
  <c r="E1141" i="20" s="1"/>
  <c r="F1141" i="20" s="1"/>
  <c r="D1142" i="20" s="1"/>
  <c r="D599" i="20"/>
  <c r="E599" i="20" s="1"/>
  <c r="F599" i="20" s="1"/>
  <c r="D1051" i="20"/>
  <c r="E1051" i="20" s="1"/>
  <c r="F1051" i="20" s="1"/>
  <c r="D1228" i="20"/>
  <c r="E1228" i="20" s="1"/>
  <c r="F1228" i="20" s="1"/>
  <c r="G493" i="13"/>
  <c r="D1538" i="13"/>
  <c r="G1537" i="13"/>
  <c r="D760" i="13"/>
  <c r="G759" i="13"/>
  <c r="D1415" i="20"/>
  <c r="D1191" i="13"/>
  <c r="G1190" i="13"/>
  <c r="D1016" i="13"/>
  <c r="G1015" i="13"/>
  <c r="D1626" i="13"/>
  <c r="G1625" i="13"/>
  <c r="D689" i="20"/>
  <c r="D1856" i="20"/>
  <c r="D326" i="13"/>
  <c r="G325" i="13"/>
  <c r="D1454" i="13"/>
  <c r="G1453" i="13"/>
  <c r="D966" i="20"/>
  <c r="D668" i="13"/>
  <c r="G667" i="13"/>
  <c r="D784" i="20"/>
  <c r="D1596" i="20"/>
  <c r="D1950" i="20"/>
  <c r="D1503" i="20"/>
  <c r="D1976" i="13"/>
  <c r="G1975" i="13"/>
  <c r="D1884" i="13"/>
  <c r="G1883" i="13"/>
  <c r="D873" i="20"/>
  <c r="D844" i="13"/>
  <c r="G843" i="13"/>
  <c r="B207" i="34"/>
  <c r="A203" i="34"/>
  <c r="B214" i="34"/>
  <c r="E234" i="13"/>
  <c r="F234" i="13" s="1"/>
  <c r="D235" i="13" s="1"/>
  <c r="E152" i="20"/>
  <c r="F152" i="20" s="1"/>
  <c r="E1801" i="13"/>
  <c r="F1801" i="13" s="1"/>
  <c r="G1800" i="13"/>
  <c r="E330" i="20"/>
  <c r="F330" i="20" s="1"/>
  <c r="E406" i="13"/>
  <c r="F406" i="13" s="1"/>
  <c r="E583" i="13"/>
  <c r="F583" i="13" s="1"/>
  <c r="D584" i="13" s="1"/>
  <c r="E1681" i="20"/>
  <c r="F1681" i="20" s="1"/>
  <c r="E2039" i="20"/>
  <c r="F2039" i="20" s="1"/>
  <c r="D2040" i="20" s="1"/>
  <c r="E933" i="13"/>
  <c r="F933" i="13" s="1"/>
  <c r="E1772" i="20"/>
  <c r="F1772" i="20" s="1"/>
  <c r="D1773" i="20" s="1"/>
  <c r="E1323" i="20"/>
  <c r="F1323" i="20" s="1"/>
  <c r="E494" i="13"/>
  <c r="F494" i="13" s="1"/>
  <c r="E1717" i="13"/>
  <c r="F1717" i="13" s="1"/>
  <c r="E422" i="20"/>
  <c r="F422" i="20" s="1"/>
  <c r="D423" i="20" s="1"/>
  <c r="E147" i="13"/>
  <c r="F147" i="13" s="1"/>
  <c r="G146" i="13"/>
  <c r="E1365" i="13"/>
  <c r="F1365" i="13" s="1"/>
  <c r="D1366" i="13" s="1"/>
  <c r="G1103" i="13" l="1"/>
  <c r="D1229" i="20"/>
  <c r="E1229" i="20" s="1"/>
  <c r="F1229" i="20" s="1"/>
  <c r="D407" i="13"/>
  <c r="E407" i="13" s="1"/>
  <c r="F407" i="13" s="1"/>
  <c r="G406" i="13"/>
  <c r="D1281" i="13"/>
  <c r="E1281" i="13" s="1"/>
  <c r="F1281" i="13" s="1"/>
  <c r="D1282" i="13" s="1"/>
  <c r="G1280" i="13"/>
  <c r="G583" i="13"/>
  <c r="G234" i="13"/>
  <c r="D1324" i="20"/>
  <c r="D148" i="13"/>
  <c r="G147" i="13"/>
  <c r="D331" i="20"/>
  <c r="D600" i="20"/>
  <c r="D1052" i="20"/>
  <c r="D511" i="20"/>
  <c r="D1682" i="20"/>
  <c r="D1802" i="13"/>
  <c r="G1801" i="13"/>
  <c r="D1718" i="13"/>
  <c r="G1717" i="13"/>
  <c r="D934" i="13"/>
  <c r="G933" i="13"/>
  <c r="D153" i="20"/>
  <c r="D495" i="13"/>
  <c r="G494" i="13"/>
  <c r="D242" i="20"/>
  <c r="E1142" i="20"/>
  <c r="F1142" i="20" s="1"/>
  <c r="D1143" i="20" s="1"/>
  <c r="E1503" i="20"/>
  <c r="F1503" i="20" s="1"/>
  <c r="D1504" i="20" s="1"/>
  <c r="E1596" i="20"/>
  <c r="F1596" i="20" s="1"/>
  <c r="E966" i="20"/>
  <c r="F966" i="20" s="1"/>
  <c r="D967" i="20" s="1"/>
  <c r="E1191" i="13"/>
  <c r="F1191" i="13" s="1"/>
  <c r="D1192" i="13" s="1"/>
  <c r="E873" i="20"/>
  <c r="F873" i="20" s="1"/>
  <c r="E584" i="13"/>
  <c r="F584" i="13" s="1"/>
  <c r="E235" i="13"/>
  <c r="F235" i="13" s="1"/>
  <c r="B230" i="34"/>
  <c r="A206" i="34"/>
  <c r="E242" i="2"/>
  <c r="E1454" i="13"/>
  <c r="F1454" i="13" s="1"/>
  <c r="E689" i="20"/>
  <c r="F689" i="20" s="1"/>
  <c r="E1884" i="13"/>
  <c r="F1884" i="13" s="1"/>
  <c r="D1885" i="13" s="1"/>
  <c r="E1950" i="20"/>
  <c r="F1950" i="20" s="1"/>
  <c r="E784" i="20"/>
  <c r="F784" i="20" s="1"/>
  <c r="E1415" i="20"/>
  <c r="F1415" i="20" s="1"/>
  <c r="E326" i="13"/>
  <c r="F326" i="13" s="1"/>
  <c r="D327" i="13" s="1"/>
  <c r="E1626" i="13"/>
  <c r="F1626" i="13" s="1"/>
  <c r="E1773" i="20"/>
  <c r="F1773" i="20" s="1"/>
  <c r="E423" i="20"/>
  <c r="F423" i="20" s="1"/>
  <c r="E2040" i="20"/>
  <c r="F2040" i="20" s="1"/>
  <c r="D2041" i="20" s="1"/>
  <c r="E1976" i="13"/>
  <c r="F1976" i="13" s="1"/>
  <c r="D1977" i="13" s="1"/>
  <c r="E1104" i="13"/>
  <c r="F1104" i="13" s="1"/>
  <c r="E668" i="13"/>
  <c r="F668" i="13" s="1"/>
  <c r="E760" i="13"/>
  <c r="F760" i="13" s="1"/>
  <c r="E1366" i="13"/>
  <c r="F1366" i="13" s="1"/>
  <c r="D1367" i="13" s="1"/>
  <c r="G1365" i="13"/>
  <c r="E844" i="13"/>
  <c r="F844" i="13" s="1"/>
  <c r="D845" i="13" s="1"/>
  <c r="E1016" i="13"/>
  <c r="F1016" i="13" s="1"/>
  <c r="E1856" i="20"/>
  <c r="F1856" i="20" s="1"/>
  <c r="D1857" i="20" s="1"/>
  <c r="E1538" i="13"/>
  <c r="F1538" i="13" s="1"/>
  <c r="D669" i="13" l="1"/>
  <c r="E669" i="13" s="1"/>
  <c r="F669" i="13" s="1"/>
  <c r="D670" i="13" s="1"/>
  <c r="G668" i="13"/>
  <c r="D1416" i="20"/>
  <c r="E1416" i="20" s="1"/>
  <c r="F1416" i="20" s="1"/>
  <c r="D1774" i="20"/>
  <c r="E1774" i="20" s="1"/>
  <c r="F1774" i="20" s="1"/>
  <c r="D1017" i="13"/>
  <c r="E1017" i="13" s="1"/>
  <c r="F1017" i="13" s="1"/>
  <c r="G1016" i="13"/>
  <c r="G1281" i="13"/>
  <c r="D424" i="20"/>
  <c r="D690" i="20"/>
  <c r="D874" i="20"/>
  <c r="D1627" i="13"/>
  <c r="G1626" i="13"/>
  <c r="D1455" i="13"/>
  <c r="G1454" i="13"/>
  <c r="D236" i="13"/>
  <c r="G235" i="13"/>
  <c r="D1597" i="20"/>
  <c r="D408" i="13"/>
  <c r="G407" i="13"/>
  <c r="D785" i="20"/>
  <c r="D585" i="13"/>
  <c r="G584" i="13"/>
  <c r="D761" i="13"/>
  <c r="G760" i="13"/>
  <c r="D1230" i="20"/>
  <c r="D1951" i="20"/>
  <c r="D1539" i="13"/>
  <c r="G1538" i="13"/>
  <c r="D1105" i="13"/>
  <c r="G1104" i="13"/>
  <c r="E1977" i="13"/>
  <c r="F1977" i="13" s="1"/>
  <c r="E1504" i="20"/>
  <c r="F1504" i="20" s="1"/>
  <c r="G1976" i="13"/>
  <c r="G1884" i="13"/>
  <c r="E242" i="20"/>
  <c r="F242" i="20" s="1"/>
  <c r="E967" i="20"/>
  <c r="F967" i="20" s="1"/>
  <c r="E1367" i="13"/>
  <c r="F1367" i="13" s="1"/>
  <c r="D1368" i="13" s="1"/>
  <c r="E2041" i="20"/>
  <c r="F2041" i="20" s="1"/>
  <c r="D2042" i="20" s="1"/>
  <c r="A207" i="34"/>
  <c r="E244" i="2"/>
  <c r="E495" i="13"/>
  <c r="F495" i="13" s="1"/>
  <c r="E331" i="20"/>
  <c r="F331" i="20" s="1"/>
  <c r="E1718" i="13"/>
  <c r="F1718" i="13" s="1"/>
  <c r="D1719" i="13" s="1"/>
  <c r="G1191" i="13"/>
  <c r="E1143" i="20"/>
  <c r="F1143" i="20" s="1"/>
  <c r="E1802" i="13"/>
  <c r="F1802" i="13" s="1"/>
  <c r="D1803" i="13" s="1"/>
  <c r="E511" i="20"/>
  <c r="F511" i="20" s="1"/>
  <c r="D512" i="20" s="1"/>
  <c r="E1857" i="20"/>
  <c r="F1857" i="20" s="1"/>
  <c r="E845" i="13"/>
  <c r="F845" i="13" s="1"/>
  <c r="D846" i="13" s="1"/>
  <c r="E327" i="13"/>
  <c r="F327" i="13" s="1"/>
  <c r="E1282" i="13"/>
  <c r="F1282" i="13" s="1"/>
  <c r="D1283" i="13" s="1"/>
  <c r="E1192" i="13"/>
  <c r="F1192" i="13" s="1"/>
  <c r="E1052" i="20"/>
  <c r="F1052" i="20" s="1"/>
  <c r="E148" i="13"/>
  <c r="F148" i="13" s="1"/>
  <c r="D149" i="13" s="1"/>
  <c r="G1366" i="13"/>
  <c r="G326" i="13"/>
  <c r="E153" i="20"/>
  <c r="F153" i="20" s="1"/>
  <c r="D154" i="20" s="1"/>
  <c r="E1885" i="13"/>
  <c r="F1885" i="13" s="1"/>
  <c r="D1886" i="13" s="1"/>
  <c r="G844" i="13"/>
  <c r="E1682" i="20"/>
  <c r="F1682" i="20" s="1"/>
  <c r="D1683" i="20" s="1"/>
  <c r="E934" i="13"/>
  <c r="F934" i="13" s="1"/>
  <c r="E600" i="20"/>
  <c r="F600" i="20" s="1"/>
  <c r="E1324" i="20"/>
  <c r="F1324" i="20" s="1"/>
  <c r="D1775" i="20" l="1"/>
  <c r="E1775" i="20" s="1"/>
  <c r="F1775" i="20" s="1"/>
  <c r="G669" i="13"/>
  <c r="D1417" i="20"/>
  <c r="E1417" i="20" s="1"/>
  <c r="F1417" i="20" s="1"/>
  <c r="D1144" i="20"/>
  <c r="E1144" i="20" s="1"/>
  <c r="F1144" i="20" s="1"/>
  <c r="D1325" i="20"/>
  <c r="E1325" i="20" s="1"/>
  <c r="F1325" i="20" s="1"/>
  <c r="D243" i="20"/>
  <c r="E243" i="20" s="1"/>
  <c r="F243" i="20" s="1"/>
  <c r="D244" i="20" s="1"/>
  <c r="G1802" i="13"/>
  <c r="D1053" i="20"/>
  <c r="D496" i="13"/>
  <c r="G495" i="13"/>
  <c r="D1978" i="13"/>
  <c r="G1977" i="13"/>
  <c r="D601" i="20"/>
  <c r="D1858" i="20"/>
  <c r="D1193" i="13"/>
  <c r="G1192" i="13"/>
  <c r="D935" i="13"/>
  <c r="G934" i="13"/>
  <c r="D328" i="13"/>
  <c r="G327" i="13"/>
  <c r="D1505" i="20"/>
  <c r="D1018" i="13"/>
  <c r="G1017" i="13"/>
  <c r="D332" i="20"/>
  <c r="D968" i="20"/>
  <c r="E149" i="13"/>
  <c r="F149" i="13" s="1"/>
  <c r="E1803" i="13"/>
  <c r="F1803" i="13" s="1"/>
  <c r="E670" i="13"/>
  <c r="F670" i="13" s="1"/>
  <c r="D671" i="13" s="1"/>
  <c r="E245" i="2"/>
  <c r="A208" i="34"/>
  <c r="E1951" i="20"/>
  <c r="F1951" i="20" s="1"/>
  <c r="D1952" i="20" s="1"/>
  <c r="E874" i="20"/>
  <c r="F874" i="20" s="1"/>
  <c r="E1597" i="20"/>
  <c r="F1597" i="20" s="1"/>
  <c r="E236" i="13"/>
  <c r="F236" i="13" s="1"/>
  <c r="E154" i="20"/>
  <c r="F154" i="20" s="1"/>
  <c r="G148" i="13"/>
  <c r="E1283" i="13"/>
  <c r="F1283" i="13" s="1"/>
  <c r="G845" i="13"/>
  <c r="E512" i="20"/>
  <c r="F512" i="20" s="1"/>
  <c r="E785" i="20"/>
  <c r="F785" i="20" s="1"/>
  <c r="D786" i="20" s="1"/>
  <c r="E585" i="13"/>
  <c r="F585" i="13" s="1"/>
  <c r="E1719" i="13"/>
  <c r="F1719" i="13" s="1"/>
  <c r="E1368" i="13"/>
  <c r="F1368" i="13" s="1"/>
  <c r="D1369" i="13" s="1"/>
  <c r="E1105" i="13"/>
  <c r="F1105" i="13" s="1"/>
  <c r="E1230" i="20"/>
  <c r="F1230" i="20" s="1"/>
  <c r="D1231" i="20" s="1"/>
  <c r="E1455" i="13"/>
  <c r="F1455" i="13" s="1"/>
  <c r="E690" i="20"/>
  <c r="F690" i="20" s="1"/>
  <c r="E2042" i="20"/>
  <c r="F2042" i="20" s="1"/>
  <c r="E846" i="13"/>
  <c r="F846" i="13" s="1"/>
  <c r="E1886" i="13"/>
  <c r="F1886" i="13" s="1"/>
  <c r="G1282" i="13"/>
  <c r="E408" i="13"/>
  <c r="F408" i="13" s="1"/>
  <c r="D409" i="13" s="1"/>
  <c r="E1683" i="20"/>
  <c r="F1683" i="20" s="1"/>
  <c r="G1718" i="13"/>
  <c r="G1367" i="13"/>
  <c r="E1539" i="13"/>
  <c r="F1539" i="13" s="1"/>
  <c r="D1540" i="13" s="1"/>
  <c r="E761" i="13"/>
  <c r="F761" i="13" s="1"/>
  <c r="E1627" i="13"/>
  <c r="F1627" i="13" s="1"/>
  <c r="G1885" i="13"/>
  <c r="E424" i="20"/>
  <c r="F424" i="20" s="1"/>
  <c r="D425" i="20" s="1"/>
  <c r="D1720" i="13" l="1"/>
  <c r="E1720" i="13" s="1"/>
  <c r="F1720" i="13" s="1"/>
  <c r="G1719" i="13"/>
  <c r="D762" i="13"/>
  <c r="E762" i="13" s="1"/>
  <c r="F762" i="13" s="1"/>
  <c r="G761" i="13"/>
  <c r="D1804" i="13"/>
  <c r="E1804" i="13" s="1"/>
  <c r="F1804" i="13" s="1"/>
  <c r="D1805" i="13" s="1"/>
  <c r="G1803" i="13"/>
  <c r="D1776" i="20"/>
  <c r="E1776" i="20" s="1"/>
  <c r="F1776" i="20" s="1"/>
  <c r="D513" i="20"/>
  <c r="E513" i="20" s="1"/>
  <c r="F513" i="20" s="1"/>
  <c r="D1106" i="13"/>
  <c r="E1106" i="13" s="1"/>
  <c r="F1106" i="13" s="1"/>
  <c r="G1105" i="13"/>
  <c r="D1418" i="20"/>
  <c r="D586" i="13"/>
  <c r="G585" i="13"/>
  <c r="D1887" i="13"/>
  <c r="G1886" i="13"/>
  <c r="D155" i="20"/>
  <c r="D847" i="13"/>
  <c r="G846" i="13"/>
  <c r="D237" i="13"/>
  <c r="G236" i="13"/>
  <c r="D1284" i="13"/>
  <c r="G1283" i="13"/>
  <c r="D1628" i="13"/>
  <c r="G1627" i="13"/>
  <c r="D2043" i="20"/>
  <c r="D1145" i="20"/>
  <c r="D150" i="13"/>
  <c r="G149" i="13"/>
  <c r="D875" i="20"/>
  <c r="D1326" i="20"/>
  <c r="D691" i="20"/>
  <c r="D1684" i="20"/>
  <c r="D1456" i="13"/>
  <c r="G1455" i="13"/>
  <c r="D1598" i="20"/>
  <c r="E1231" i="20"/>
  <c r="F1231" i="20" s="1"/>
  <c r="G670" i="13"/>
  <c r="E935" i="13"/>
  <c r="F935" i="13" s="1"/>
  <c r="E601" i="20"/>
  <c r="F601" i="20" s="1"/>
  <c r="E409" i="13"/>
  <c r="F409" i="13" s="1"/>
  <c r="D410" i="13" s="1"/>
  <c r="E1193" i="13"/>
  <c r="F1193" i="13" s="1"/>
  <c r="D1194" i="13" s="1"/>
  <c r="E1978" i="13"/>
  <c r="F1978" i="13" s="1"/>
  <c r="E1369" i="13"/>
  <c r="F1369" i="13" s="1"/>
  <c r="D1370" i="13" s="1"/>
  <c r="E1952" i="20"/>
  <c r="F1952" i="20" s="1"/>
  <c r="D1953" i="20" s="1"/>
  <c r="E968" i="20"/>
  <c r="F968" i="20" s="1"/>
  <c r="E1505" i="20"/>
  <c r="F1505" i="20" s="1"/>
  <c r="D1506" i="20" s="1"/>
  <c r="E496" i="13"/>
  <c r="F496" i="13" s="1"/>
  <c r="E671" i="13"/>
  <c r="F671" i="13" s="1"/>
  <c r="D672" i="13" s="1"/>
  <c r="G408" i="13"/>
  <c r="E425" i="20"/>
  <c r="F425" i="20" s="1"/>
  <c r="G1539" i="13"/>
  <c r="E786" i="20"/>
  <c r="F786" i="20" s="1"/>
  <c r="E1858" i="20"/>
  <c r="F1858" i="20" s="1"/>
  <c r="E1018" i="13"/>
  <c r="F1018" i="13" s="1"/>
  <c r="G1368" i="13"/>
  <c r="A209" i="34"/>
  <c r="E246" i="2"/>
  <c r="E328" i="13"/>
  <c r="F328" i="13" s="1"/>
  <c r="D329" i="13" s="1"/>
  <c r="E1540" i="13"/>
  <c r="F1540" i="13" s="1"/>
  <c r="E244" i="20"/>
  <c r="F244" i="20" s="1"/>
  <c r="E332" i="20"/>
  <c r="F332" i="20" s="1"/>
  <c r="D333" i="20" s="1"/>
  <c r="E1053" i="20"/>
  <c r="F1053" i="20" s="1"/>
  <c r="D1019" i="13" l="1"/>
  <c r="E1019" i="13" s="1"/>
  <c r="F1019" i="13" s="1"/>
  <c r="D1020" i="13" s="1"/>
  <c r="G1018" i="13"/>
  <c r="D1979" i="13"/>
  <c r="E1979" i="13" s="1"/>
  <c r="F1979" i="13" s="1"/>
  <c r="G1978" i="13"/>
  <c r="G328" i="13"/>
  <c r="G409" i="13"/>
  <c r="D1541" i="13"/>
  <c r="G1540" i="13"/>
  <c r="D602" i="20"/>
  <c r="D936" i="13"/>
  <c r="G935" i="13"/>
  <c r="D787" i="20"/>
  <c r="D763" i="13"/>
  <c r="G762" i="13"/>
  <c r="D1107" i="13"/>
  <c r="G1106" i="13"/>
  <c r="D1777" i="20"/>
  <c r="D1232" i="20"/>
  <c r="D497" i="13"/>
  <c r="G496" i="13"/>
  <c r="D245" i="20"/>
  <c r="D426" i="20"/>
  <c r="D514" i="20"/>
  <c r="D1054" i="20"/>
  <c r="D1859" i="20"/>
  <c r="D969" i="20"/>
  <c r="D1721" i="13"/>
  <c r="G1720" i="13"/>
  <c r="E1805" i="13"/>
  <c r="F1805" i="13" s="1"/>
  <c r="A210" i="34"/>
  <c r="E247" i="2"/>
  <c r="G1804" i="13"/>
  <c r="E155" i="20"/>
  <c r="F155" i="20" s="1"/>
  <c r="E672" i="13"/>
  <c r="F672" i="13" s="1"/>
  <c r="D673" i="13" s="1"/>
  <c r="E1326" i="20"/>
  <c r="F1326" i="20" s="1"/>
  <c r="E1145" i="20"/>
  <c r="F1145" i="20" s="1"/>
  <c r="E1887" i="13"/>
  <c r="F1887" i="13" s="1"/>
  <c r="E329" i="13"/>
  <c r="F329" i="13" s="1"/>
  <c r="G671" i="13"/>
  <c r="G1369" i="13"/>
  <c r="E237" i="13"/>
  <c r="F237" i="13" s="1"/>
  <c r="D238" i="13" s="1"/>
  <c r="E1506" i="20"/>
  <c r="F1506" i="20" s="1"/>
  <c r="E1456" i="13"/>
  <c r="F1456" i="13" s="1"/>
  <c r="E1953" i="20"/>
  <c r="F1953" i="20" s="1"/>
  <c r="D1954" i="20" s="1"/>
  <c r="E1370" i="13"/>
  <c r="F1370" i="13" s="1"/>
  <c r="E1194" i="13"/>
  <c r="F1194" i="13" s="1"/>
  <c r="E1684" i="20"/>
  <c r="F1684" i="20" s="1"/>
  <c r="E586" i="13"/>
  <c r="F586" i="13" s="1"/>
  <c r="G1193" i="13"/>
  <c r="E875" i="20"/>
  <c r="F875" i="20" s="1"/>
  <c r="E2043" i="20"/>
  <c r="F2043" i="20" s="1"/>
  <c r="E847" i="13"/>
  <c r="F847" i="13" s="1"/>
  <c r="D848" i="13" s="1"/>
  <c r="E333" i="20"/>
  <c r="F333" i="20" s="1"/>
  <c r="E410" i="13"/>
  <c r="F410" i="13" s="1"/>
  <c r="E1284" i="13"/>
  <c r="F1284" i="13" s="1"/>
  <c r="E1598" i="20"/>
  <c r="F1598" i="20" s="1"/>
  <c r="D1599" i="20" s="1"/>
  <c r="E691" i="20"/>
  <c r="F691" i="20" s="1"/>
  <c r="E150" i="13"/>
  <c r="F150" i="13" s="1"/>
  <c r="E1628" i="13"/>
  <c r="F1628" i="13" s="1"/>
  <c r="E1418" i="20"/>
  <c r="F1418" i="20" s="1"/>
  <c r="D692" i="20" l="1"/>
  <c r="E692" i="20" s="1"/>
  <c r="F692" i="20" s="1"/>
  <c r="D330" i="13"/>
  <c r="E330" i="13" s="1"/>
  <c r="F330" i="13" s="1"/>
  <c r="G329" i="13"/>
  <c r="D1419" i="20"/>
  <c r="E1419" i="20" s="1"/>
  <c r="F1419" i="20" s="1"/>
  <c r="D1507" i="20"/>
  <c r="E1507" i="20" s="1"/>
  <c r="F1507" i="20" s="1"/>
  <c r="D1806" i="13"/>
  <c r="E1806" i="13" s="1"/>
  <c r="F1806" i="13" s="1"/>
  <c r="D1807" i="13" s="1"/>
  <c r="G1805" i="13"/>
  <c r="D1371" i="13"/>
  <c r="E1371" i="13" s="1"/>
  <c r="F1371" i="13" s="1"/>
  <c r="D1372" i="13" s="1"/>
  <c r="G1370" i="13"/>
  <c r="D1457" i="13"/>
  <c r="E1457" i="13" s="1"/>
  <c r="F1457" i="13" s="1"/>
  <c r="G1456" i="13"/>
  <c r="D1285" i="13"/>
  <c r="G1284" i="13"/>
  <c r="D1888" i="13"/>
  <c r="G1887" i="13"/>
  <c r="D156" i="20"/>
  <c r="D1146" i="20"/>
  <c r="D2044" i="20"/>
  <c r="D1195" i="13"/>
  <c r="G1194" i="13"/>
  <c r="D1685" i="20"/>
  <c r="D1327" i="20"/>
  <c r="D1980" i="13"/>
  <c r="G1979" i="13"/>
  <c r="D587" i="13"/>
  <c r="G586" i="13"/>
  <c r="D1629" i="13"/>
  <c r="G1628" i="13"/>
  <c r="D151" i="13"/>
  <c r="G150" i="13"/>
  <c r="D411" i="13"/>
  <c r="G410" i="13"/>
  <c r="D876" i="20"/>
  <c r="D334" i="20"/>
  <c r="E1954" i="20"/>
  <c r="F1954" i="20" s="1"/>
  <c r="D1955" i="20" s="1"/>
  <c r="A213" i="34"/>
  <c r="B215" i="34"/>
  <c r="E1054" i="20"/>
  <c r="F1054" i="20" s="1"/>
  <c r="E787" i="20"/>
  <c r="F787" i="20" s="1"/>
  <c r="G237" i="13"/>
  <c r="G672" i="13"/>
  <c r="E514" i="20"/>
  <c r="F514" i="20" s="1"/>
  <c r="E497" i="13"/>
  <c r="F497" i="13" s="1"/>
  <c r="E1107" i="13"/>
  <c r="F1107" i="13" s="1"/>
  <c r="E1020" i="13"/>
  <c r="F1020" i="13" s="1"/>
  <c r="D1021" i="13" s="1"/>
  <c r="E673" i="13"/>
  <c r="F673" i="13" s="1"/>
  <c r="D674" i="13" s="1"/>
  <c r="E1777" i="20"/>
  <c r="F1777" i="20" s="1"/>
  <c r="E238" i="13"/>
  <c r="F238" i="13" s="1"/>
  <c r="D239" i="13" s="1"/>
  <c r="G847" i="13"/>
  <c r="E1859" i="20"/>
  <c r="F1859" i="20" s="1"/>
  <c r="E763" i="13"/>
  <c r="F763" i="13" s="1"/>
  <c r="E602" i="20"/>
  <c r="F602" i="20" s="1"/>
  <c r="E1599" i="20"/>
  <c r="F1599" i="20" s="1"/>
  <c r="E936" i="13"/>
  <c r="F936" i="13" s="1"/>
  <c r="G1019" i="13"/>
  <c r="E426" i="20"/>
  <c r="F426" i="20" s="1"/>
  <c r="E1232" i="20"/>
  <c r="F1232" i="20" s="1"/>
  <c r="E245" i="20"/>
  <c r="F245" i="20" s="1"/>
  <c r="E969" i="20"/>
  <c r="F969" i="20" s="1"/>
  <c r="D970" i="20" s="1"/>
  <c r="E848" i="13"/>
  <c r="F848" i="13" s="1"/>
  <c r="D849" i="13" s="1"/>
  <c r="E1721" i="13"/>
  <c r="F1721" i="13" s="1"/>
  <c r="E1541" i="13"/>
  <c r="F1541" i="13" s="1"/>
  <c r="D1508" i="20" l="1"/>
  <c r="E1508" i="20" s="1"/>
  <c r="F1508" i="20" s="1"/>
  <c r="D788" i="20"/>
  <c r="E788" i="20" s="1"/>
  <c r="F788" i="20" s="1"/>
  <c r="D693" i="20"/>
  <c r="E693" i="20" s="1"/>
  <c r="F693" i="20" s="1"/>
  <c r="D515" i="20"/>
  <c r="E515" i="20" s="1"/>
  <c r="F515" i="20" s="1"/>
  <c r="D1420" i="20"/>
  <c r="E1420" i="20" s="1"/>
  <c r="E1421" i="20" s="1"/>
  <c r="D603" i="20"/>
  <c r="E603" i="20" s="1"/>
  <c r="F603" i="20" s="1"/>
  <c r="G1371" i="13"/>
  <c r="D1458" i="13"/>
  <c r="G1457" i="13"/>
  <c r="D937" i="13"/>
  <c r="G936" i="13"/>
  <c r="D1108" i="13"/>
  <c r="G1107" i="13"/>
  <c r="D1055" i="20"/>
  <c r="D246" i="20"/>
  <c r="D1778" i="20"/>
  <c r="D764" i="13"/>
  <c r="G763" i="13"/>
  <c r="D1542" i="13"/>
  <c r="G1541" i="13"/>
  <c r="D1860" i="20"/>
  <c r="D1722" i="13"/>
  <c r="G1721" i="13"/>
  <c r="D1233" i="20"/>
  <c r="D498" i="13"/>
  <c r="G497" i="13"/>
  <c r="D427" i="20"/>
  <c r="D1600" i="20"/>
  <c r="D331" i="13"/>
  <c r="G330" i="13"/>
  <c r="E674" i="13"/>
  <c r="F674" i="13" s="1"/>
  <c r="G673" i="13"/>
  <c r="G1806" i="13"/>
  <c r="E876" i="20"/>
  <c r="F876" i="20" s="1"/>
  <c r="E587" i="13"/>
  <c r="F587" i="13" s="1"/>
  <c r="E1685" i="20"/>
  <c r="F1685" i="20" s="1"/>
  <c r="E1146" i="20"/>
  <c r="F1146" i="20" s="1"/>
  <c r="G238" i="13"/>
  <c r="G1020" i="13"/>
  <c r="E411" i="13"/>
  <c r="F411" i="13" s="1"/>
  <c r="E1980" i="13"/>
  <c r="F1980" i="13" s="1"/>
  <c r="E1195" i="13"/>
  <c r="F1195" i="13" s="1"/>
  <c r="E239" i="13"/>
  <c r="F239" i="13" s="1"/>
  <c r="E1021" i="13"/>
  <c r="F1021" i="13" s="1"/>
  <c r="E156" i="20"/>
  <c r="F156" i="20" s="1"/>
  <c r="A214" i="34"/>
  <c r="D251" i="2"/>
  <c r="E151" i="13"/>
  <c r="F151" i="13" s="1"/>
  <c r="E970" i="20"/>
  <c r="E971" i="20" s="1"/>
  <c r="G848" i="13"/>
  <c r="E334" i="20"/>
  <c r="F334" i="20" s="1"/>
  <c r="E1327" i="20"/>
  <c r="F1327" i="20" s="1"/>
  <c r="D1328" i="20" s="1"/>
  <c r="E2044" i="20"/>
  <c r="F2044" i="20" s="1"/>
  <c r="E1888" i="13"/>
  <c r="F1888" i="13" s="1"/>
  <c r="D1889" i="13" s="1"/>
  <c r="E1807" i="13"/>
  <c r="F1807" i="13" s="1"/>
  <c r="E1955" i="20"/>
  <c r="F1955" i="20" s="1"/>
  <c r="E849" i="13"/>
  <c r="F849" i="13" s="1"/>
  <c r="E1372" i="13"/>
  <c r="F1372" i="13" s="1"/>
  <c r="E1629" i="13"/>
  <c r="F1629" i="13" s="1"/>
  <c r="E1285" i="13"/>
  <c r="F1285" i="13" s="1"/>
  <c r="D1286" i="13" s="1"/>
  <c r="D1808" i="13" l="1"/>
  <c r="E1808" i="13" s="1"/>
  <c r="F1808" i="13" s="1"/>
  <c r="G1807" i="13"/>
  <c r="D2045" i="20"/>
  <c r="E2045" i="20" s="1"/>
  <c r="F2045" i="20" s="1"/>
  <c r="F1420" i="20"/>
  <c r="D1196" i="13"/>
  <c r="G1195" i="13"/>
  <c r="D588" i="13"/>
  <c r="G587" i="13"/>
  <c r="D604" i="20"/>
  <c r="D877" i="20"/>
  <c r="D694" i="20"/>
  <c r="D412" i="13"/>
  <c r="G411" i="13"/>
  <c r="D675" i="13"/>
  <c r="G674" i="13"/>
  <c r="D1022" i="13"/>
  <c r="G1021" i="13"/>
  <c r="D516" i="20"/>
  <c r="D240" i="13"/>
  <c r="G239" i="13"/>
  <c r="D1981" i="13"/>
  <c r="G1980" i="13"/>
  <c r="D152" i="13"/>
  <c r="G151" i="13"/>
  <c r="D1509" i="20"/>
  <c r="D789" i="20"/>
  <c r="D1373" i="13"/>
  <c r="G1372" i="13"/>
  <c r="D157" i="20"/>
  <c r="D850" i="13"/>
  <c r="G849" i="13"/>
  <c r="D335" i="20"/>
  <c r="D1147" i="20"/>
  <c r="D1630" i="13"/>
  <c r="G1629" i="13"/>
  <c r="D1956" i="20"/>
  <c r="D1686" i="20"/>
  <c r="E1286" i="13"/>
  <c r="F1286" i="13" s="1"/>
  <c r="D1287" i="13" s="1"/>
  <c r="G1285" i="13"/>
  <c r="D252" i="2"/>
  <c r="A215" i="34"/>
  <c r="E764" i="13"/>
  <c r="F764" i="13" s="1"/>
  <c r="D765" i="13" s="1"/>
  <c r="G1888" i="13"/>
  <c r="E1722" i="13"/>
  <c r="F1722" i="13" s="1"/>
  <c r="D1723" i="13" s="1"/>
  <c r="E1055" i="20"/>
  <c r="F1055" i="20" s="1"/>
  <c r="D1056" i="20" s="1"/>
  <c r="E1889" i="13"/>
  <c r="F1889" i="13" s="1"/>
  <c r="E427" i="20"/>
  <c r="F427" i="20" s="1"/>
  <c r="E1328" i="20"/>
  <c r="F1328" i="20" s="1"/>
  <c r="D1329" i="20" s="1"/>
  <c r="E1778" i="20"/>
  <c r="F1778" i="20" s="1"/>
  <c r="E1108" i="13"/>
  <c r="F1108" i="13" s="1"/>
  <c r="E331" i="13"/>
  <c r="F331" i="13" s="1"/>
  <c r="E498" i="13"/>
  <c r="F498" i="13" s="1"/>
  <c r="E1860" i="20"/>
  <c r="F1860" i="20" s="1"/>
  <c r="D1861" i="20" s="1"/>
  <c r="E937" i="13"/>
  <c r="F937" i="13" s="1"/>
  <c r="F970" i="20"/>
  <c r="E1542" i="13"/>
  <c r="F1542" i="13" s="1"/>
  <c r="D1543" i="13" s="1"/>
  <c r="E246" i="20"/>
  <c r="F246" i="20" s="1"/>
  <c r="E1600" i="20"/>
  <c r="E1601" i="20" s="1"/>
  <c r="E1233" i="20"/>
  <c r="F1233" i="20" s="1"/>
  <c r="E1458" i="13"/>
  <c r="F1458" i="13" s="1"/>
  <c r="D1459" i="13" s="1"/>
  <c r="D247" i="20" l="1"/>
  <c r="E247" i="20" s="1"/>
  <c r="F247" i="20" s="1"/>
  <c r="D1109" i="13"/>
  <c r="E1109" i="13" s="1"/>
  <c r="F1109" i="13" s="1"/>
  <c r="G1108" i="13"/>
  <c r="D1890" i="13"/>
  <c r="E1890" i="13" s="1"/>
  <c r="F1890" i="13" s="1"/>
  <c r="G1889" i="13"/>
  <c r="D1809" i="13"/>
  <c r="E1809" i="13" s="1"/>
  <c r="F1809" i="13" s="1"/>
  <c r="G1808" i="13"/>
  <c r="D428" i="20"/>
  <c r="E428" i="20" s="1"/>
  <c r="F428" i="20" s="1"/>
  <c r="D499" i="13"/>
  <c r="G498" i="13"/>
  <c r="D1779" i="20"/>
  <c r="D332" i="13"/>
  <c r="G331" i="13"/>
  <c r="D2046" i="20"/>
  <c r="D1234" i="20"/>
  <c r="D938" i="13"/>
  <c r="G937" i="13"/>
  <c r="G1542" i="13"/>
  <c r="E1329" i="20"/>
  <c r="F1329" i="20" s="1"/>
  <c r="E1056" i="20"/>
  <c r="F1056" i="20" s="1"/>
  <c r="E1287" i="13"/>
  <c r="F1287" i="13" s="1"/>
  <c r="E1630" i="13"/>
  <c r="F1630" i="13" s="1"/>
  <c r="E850" i="13"/>
  <c r="F850" i="13" s="1"/>
  <c r="E789" i="20"/>
  <c r="F789" i="20" s="1"/>
  <c r="E675" i="13"/>
  <c r="F675" i="13" s="1"/>
  <c r="E877" i="20"/>
  <c r="F877" i="20" s="1"/>
  <c r="E1861" i="20"/>
  <c r="F1861" i="20" s="1"/>
  <c r="D1862" i="20" s="1"/>
  <c r="E765" i="13"/>
  <c r="F765" i="13" s="1"/>
  <c r="E412" i="13"/>
  <c r="F412" i="13" s="1"/>
  <c r="D413" i="13" s="1"/>
  <c r="E1723" i="13"/>
  <c r="F1723" i="13" s="1"/>
  <c r="E240" i="13"/>
  <c r="F240" i="13" s="1"/>
  <c r="G1722" i="13"/>
  <c r="G764" i="13"/>
  <c r="E1686" i="20"/>
  <c r="F1686" i="20" s="1"/>
  <c r="E1147" i="20"/>
  <c r="F1147" i="20" s="1"/>
  <c r="E157" i="20"/>
  <c r="F157" i="20" s="1"/>
  <c r="D158" i="20" s="1"/>
  <c r="E1509" i="20"/>
  <c r="F1509" i="20" s="1"/>
  <c r="E604" i="20"/>
  <c r="F604" i="20" s="1"/>
  <c r="D605" i="20" s="1"/>
  <c r="E1543" i="13"/>
  <c r="F1543" i="13" s="1"/>
  <c r="E516" i="20"/>
  <c r="F516" i="20" s="1"/>
  <c r="A216" i="34"/>
  <c r="B220" i="34" s="1"/>
  <c r="D253" i="2"/>
  <c r="G1458" i="13"/>
  <c r="E1373" i="13"/>
  <c r="F1373" i="13" s="1"/>
  <c r="D1374" i="13" s="1"/>
  <c r="E152" i="13"/>
  <c r="F152" i="13" s="1"/>
  <c r="D153" i="13" s="1"/>
  <c r="E694" i="20"/>
  <c r="F694" i="20" s="1"/>
  <c r="D695" i="20" s="1"/>
  <c r="E588" i="13"/>
  <c r="F588" i="13" s="1"/>
  <c r="D589" i="13" s="1"/>
  <c r="E1459" i="13"/>
  <c r="F1459" i="13" s="1"/>
  <c r="F1600" i="20"/>
  <c r="E1956" i="20"/>
  <c r="F1956" i="20" s="1"/>
  <c r="D1957" i="20" s="1"/>
  <c r="E335" i="20"/>
  <c r="F335" i="20" s="1"/>
  <c r="D336" i="20" s="1"/>
  <c r="E1022" i="13"/>
  <c r="F1022" i="13" s="1"/>
  <c r="D1023" i="13" s="1"/>
  <c r="G1286" i="13"/>
  <c r="E1981" i="13"/>
  <c r="F1981" i="13" s="1"/>
  <c r="E1196" i="13"/>
  <c r="F1196" i="13" s="1"/>
  <c r="D1197" i="13" s="1"/>
  <c r="D1330" i="20" l="1"/>
  <c r="E1330" i="20" s="1"/>
  <c r="E1331" i="20" s="1"/>
  <c r="D241" i="13"/>
  <c r="E241" i="13" s="1"/>
  <c r="F241" i="13" s="1"/>
  <c r="G240" i="13"/>
  <c r="D1544" i="13"/>
  <c r="E1544" i="13" s="1"/>
  <c r="F1544" i="13" s="1"/>
  <c r="G1543" i="13"/>
  <c r="D1810" i="13"/>
  <c r="E1810" i="13" s="1"/>
  <c r="F1810" i="13" s="1"/>
  <c r="D1811" i="13" s="1"/>
  <c r="G1809" i="13"/>
  <c r="D1148" i="20"/>
  <c r="E1148" i="20" s="1"/>
  <c r="F1148" i="20" s="1"/>
  <c r="D517" i="20"/>
  <c r="E517" i="20" s="1"/>
  <c r="F517" i="20" s="1"/>
  <c r="D518" i="20" s="1"/>
  <c r="G412" i="13"/>
  <c r="D1891" i="13"/>
  <c r="G1890" i="13"/>
  <c r="D878" i="20"/>
  <c r="D1057" i="20"/>
  <c r="D1724" i="13"/>
  <c r="G1723" i="13"/>
  <c r="D1687" i="20"/>
  <c r="D790" i="20"/>
  <c r="D1982" i="13"/>
  <c r="G1981" i="13"/>
  <c r="D429" i="20"/>
  <c r="D1510" i="20"/>
  <c r="D851" i="13"/>
  <c r="G850" i="13"/>
  <c r="D676" i="13"/>
  <c r="G675" i="13"/>
  <c r="D248" i="20"/>
  <c r="D1631" i="13"/>
  <c r="G1630" i="13"/>
  <c r="D1460" i="13"/>
  <c r="G1459" i="13"/>
  <c r="D1110" i="13"/>
  <c r="G1109" i="13"/>
  <c r="D766" i="13"/>
  <c r="G765" i="13"/>
  <c r="D1288" i="13"/>
  <c r="G1287" i="13"/>
  <c r="E1197" i="13"/>
  <c r="F1197" i="13" s="1"/>
  <c r="D1198" i="13" s="1"/>
  <c r="E695" i="20"/>
  <c r="F695" i="20" s="1"/>
  <c r="E1374" i="13"/>
  <c r="F1374" i="13" s="1"/>
  <c r="E2046" i="20"/>
  <c r="F2046" i="20" s="1"/>
  <c r="G1022" i="13"/>
  <c r="E605" i="20"/>
  <c r="F605" i="20" s="1"/>
  <c r="E158" i="20"/>
  <c r="F158" i="20" s="1"/>
  <c r="E1023" i="13"/>
  <c r="F1023" i="13" s="1"/>
  <c r="D1024" i="13" s="1"/>
  <c r="G1196" i="13"/>
  <c r="E336" i="20"/>
  <c r="F336" i="20" s="1"/>
  <c r="G588" i="13"/>
  <c r="E938" i="13"/>
  <c r="F938" i="13" s="1"/>
  <c r="E332" i="13"/>
  <c r="F332" i="13" s="1"/>
  <c r="E153" i="13"/>
  <c r="F153" i="13" s="1"/>
  <c r="D154" i="13" s="1"/>
  <c r="E413" i="13"/>
  <c r="F413" i="13" s="1"/>
  <c r="E1862" i="20"/>
  <c r="F1862" i="20" s="1"/>
  <c r="E589" i="13"/>
  <c r="F589" i="13" s="1"/>
  <c r="G152" i="13"/>
  <c r="A218" i="34"/>
  <c r="D254" i="2"/>
  <c r="B218" i="34"/>
  <c r="B219" i="34"/>
  <c r="E1234" i="20"/>
  <c r="F1234" i="20" s="1"/>
  <c r="E1779" i="20"/>
  <c r="F1779" i="20" s="1"/>
  <c r="E1957" i="20"/>
  <c r="F1957" i="20" s="1"/>
  <c r="D1958" i="20" s="1"/>
  <c r="G1373" i="13"/>
  <c r="E499" i="13"/>
  <c r="F499" i="13" s="1"/>
  <c r="F1330" i="20" l="1"/>
  <c r="D1545" i="13"/>
  <c r="E1545" i="13" s="1"/>
  <c r="F1545" i="13" s="1"/>
  <c r="D1546" i="13" s="1"/>
  <c r="G1544" i="13"/>
  <c r="D2047" i="20"/>
  <c r="E2047" i="20" s="1"/>
  <c r="F2047" i="20" s="1"/>
  <c r="G1197" i="13"/>
  <c r="D1149" i="20"/>
  <c r="D939" i="13"/>
  <c r="G938" i="13"/>
  <c r="D1375" i="13"/>
  <c r="G1374" i="13"/>
  <c r="D337" i="20"/>
  <c r="D590" i="13"/>
  <c r="G589" i="13"/>
  <c r="D696" i="20"/>
  <c r="D159" i="20"/>
  <c r="D1780" i="20"/>
  <c r="D1235" i="20"/>
  <c r="D414" i="13"/>
  <c r="G413" i="13"/>
  <c r="D606" i="20"/>
  <c r="D1863" i="20"/>
  <c r="D333" i="13"/>
  <c r="G332" i="13"/>
  <c r="D500" i="13"/>
  <c r="G499" i="13"/>
  <c r="D242" i="13"/>
  <c r="G241" i="13"/>
  <c r="E1958" i="20"/>
  <c r="F1958" i="20" s="1"/>
  <c r="D1959" i="20" s="1"/>
  <c r="E518" i="20"/>
  <c r="F518" i="20" s="1"/>
  <c r="E1288" i="13"/>
  <c r="F1288" i="13" s="1"/>
  <c r="E1631" i="13"/>
  <c r="F1631" i="13" s="1"/>
  <c r="D1632" i="13" s="1"/>
  <c r="E766" i="13"/>
  <c r="F766" i="13" s="1"/>
  <c r="D767" i="13" s="1"/>
  <c r="E1510" i="20"/>
  <c r="E1511" i="20" s="1"/>
  <c r="E790" i="20"/>
  <c r="E791" i="20" s="1"/>
  <c r="E1057" i="20"/>
  <c r="F1057" i="20" s="1"/>
  <c r="G153" i="13"/>
  <c r="E248" i="20"/>
  <c r="F248" i="20" s="1"/>
  <c r="E1110" i="13"/>
  <c r="F1110" i="13" s="1"/>
  <c r="D1111" i="13" s="1"/>
  <c r="E1024" i="13"/>
  <c r="F1024" i="13" s="1"/>
  <c r="E1198" i="13"/>
  <c r="F1198" i="13" s="1"/>
  <c r="E676" i="13"/>
  <c r="F676" i="13" s="1"/>
  <c r="D677" i="13" s="1"/>
  <c r="E429" i="20"/>
  <c r="F429" i="20" s="1"/>
  <c r="E1687" i="20"/>
  <c r="F1687" i="20" s="1"/>
  <c r="E878" i="20"/>
  <c r="F878" i="20" s="1"/>
  <c r="E1811" i="13"/>
  <c r="F1811" i="13" s="1"/>
  <c r="G1023" i="13"/>
  <c r="E1460" i="13"/>
  <c r="F1460" i="13" s="1"/>
  <c r="D1461" i="13" s="1"/>
  <c r="E154" i="13"/>
  <c r="F154" i="13" s="1"/>
  <c r="G1810" i="13"/>
  <c r="A219" i="34"/>
  <c r="E851" i="13"/>
  <c r="F851" i="13" s="1"/>
  <c r="E1982" i="13"/>
  <c r="F1982" i="13" s="1"/>
  <c r="D1983" i="13" s="1"/>
  <c r="E1724" i="13"/>
  <c r="F1724" i="13" s="1"/>
  <c r="D1725" i="13" s="1"/>
  <c r="E1891" i="13"/>
  <c r="F1891" i="13" s="1"/>
  <c r="G1110" i="13" l="1"/>
  <c r="F1510" i="20"/>
  <c r="D879" i="20"/>
  <c r="E879" i="20" s="1"/>
  <c r="F879" i="20" s="1"/>
  <c r="D880" i="20" s="1"/>
  <c r="D1058" i="20"/>
  <c r="E1058" i="20" s="1"/>
  <c r="F1058" i="20" s="1"/>
  <c r="D1059" i="20" s="1"/>
  <c r="D430" i="20"/>
  <c r="E430" i="20" s="1"/>
  <c r="E431" i="20" s="1"/>
  <c r="D2048" i="20"/>
  <c r="E2048" i="20" s="1"/>
  <c r="F2048" i="20" s="1"/>
  <c r="D1199" i="13"/>
  <c r="E1199" i="13" s="1"/>
  <c r="F1199" i="13" s="1"/>
  <c r="G1198" i="13"/>
  <c r="G1631" i="13"/>
  <c r="D1289" i="13"/>
  <c r="G1288" i="13"/>
  <c r="D1025" i="13"/>
  <c r="G1024" i="13"/>
  <c r="D852" i="13"/>
  <c r="G851" i="13"/>
  <c r="D519" i="20"/>
  <c r="D155" i="13"/>
  <c r="G154" i="13"/>
  <c r="D249" i="20"/>
  <c r="D1892" i="13"/>
  <c r="G1891" i="13"/>
  <c r="D1812" i="13"/>
  <c r="G1811" i="13"/>
  <c r="D1688" i="20"/>
  <c r="G1982" i="13"/>
  <c r="G676" i="13"/>
  <c r="F790" i="20"/>
  <c r="G766" i="13"/>
  <c r="E1632" i="13"/>
  <c r="F1632" i="13" s="1"/>
  <c r="D1633" i="13" s="1"/>
  <c r="E159" i="20"/>
  <c r="F159" i="20" s="1"/>
  <c r="E337" i="20"/>
  <c r="F337" i="20" s="1"/>
  <c r="E1863" i="20"/>
  <c r="F1863" i="20" s="1"/>
  <c r="E1235" i="20"/>
  <c r="F1235" i="20" s="1"/>
  <c r="E1375" i="13"/>
  <c r="F1375" i="13" s="1"/>
  <c r="E1546" i="13"/>
  <c r="F1546" i="13" s="1"/>
  <c r="D1547" i="13" s="1"/>
  <c r="E242" i="13"/>
  <c r="F242" i="13" s="1"/>
  <c r="E696" i="20"/>
  <c r="F696" i="20" s="1"/>
  <c r="E677" i="13"/>
  <c r="F677" i="13" s="1"/>
  <c r="D678" i="13" s="1"/>
  <c r="E767" i="13"/>
  <c r="F767" i="13" s="1"/>
  <c r="D768" i="13" s="1"/>
  <c r="E1959" i="20"/>
  <c r="F1959" i="20" s="1"/>
  <c r="D1960" i="20" s="1"/>
  <c r="G1724" i="13"/>
  <c r="G1460" i="13"/>
  <c r="E1111" i="13"/>
  <c r="F1111" i="13" s="1"/>
  <c r="E939" i="13"/>
  <c r="F939" i="13" s="1"/>
  <c r="D940" i="13" s="1"/>
  <c r="E1983" i="13"/>
  <c r="F1983" i="13" s="1"/>
  <c r="D1984" i="13" s="1"/>
  <c r="A220" i="34"/>
  <c r="E1461" i="13"/>
  <c r="F1461" i="13" s="1"/>
  <c r="G1545" i="13"/>
  <c r="E500" i="13"/>
  <c r="F500" i="13" s="1"/>
  <c r="E606" i="20"/>
  <c r="F606" i="20" s="1"/>
  <c r="D607" i="20" s="1"/>
  <c r="E1780" i="20"/>
  <c r="E1781" i="20" s="1"/>
  <c r="E590" i="13"/>
  <c r="F590" i="13" s="1"/>
  <c r="D591" i="13" s="1"/>
  <c r="E1725" i="13"/>
  <c r="F1725" i="13" s="1"/>
  <c r="E333" i="13"/>
  <c r="F333" i="13" s="1"/>
  <c r="E414" i="13"/>
  <c r="F414" i="13" s="1"/>
  <c r="E1149" i="20"/>
  <c r="F1149" i="20" s="1"/>
  <c r="D1112" i="13" l="1"/>
  <c r="E1112" i="13" s="1"/>
  <c r="F1112" i="13" s="1"/>
  <c r="G1111" i="13"/>
  <c r="D338" i="20"/>
  <c r="E338" i="20" s="1"/>
  <c r="F338" i="20" s="1"/>
  <c r="D501" i="13"/>
  <c r="E501" i="13" s="1"/>
  <c r="F501" i="13" s="1"/>
  <c r="G500" i="13"/>
  <c r="F430" i="20"/>
  <c r="F1780" i="20"/>
  <c r="G677" i="13"/>
  <c r="D1200" i="13"/>
  <c r="G1199" i="13"/>
  <c r="D1726" i="13"/>
  <c r="G1725" i="13"/>
  <c r="D1376" i="13"/>
  <c r="G1375" i="13"/>
  <c r="D1236" i="20"/>
  <c r="D1462" i="13"/>
  <c r="G1461" i="13"/>
  <c r="D1150" i="20"/>
  <c r="D415" i="13"/>
  <c r="G414" i="13"/>
  <c r="D2049" i="20"/>
  <c r="D1864" i="20"/>
  <c r="D160" i="20"/>
  <c r="D334" i="13"/>
  <c r="G333" i="13"/>
  <c r="D697" i="20"/>
  <c r="D243" i="13"/>
  <c r="G242" i="13"/>
  <c r="E1984" i="13"/>
  <c r="F1984" i="13" s="1"/>
  <c r="E1960" i="20"/>
  <c r="E1961" i="20" s="1"/>
  <c r="E880" i="20"/>
  <c r="E881" i="20" s="1"/>
  <c r="G590" i="13"/>
  <c r="A222" i="34"/>
  <c r="A224" i="34" s="1"/>
  <c r="A225" i="34" s="1"/>
  <c r="A226" i="34" s="1"/>
  <c r="A229" i="34" s="1"/>
  <c r="G939" i="13"/>
  <c r="E768" i="13"/>
  <c r="F768" i="13" s="1"/>
  <c r="D769" i="13" s="1"/>
  <c r="G1546" i="13"/>
  <c r="E1633" i="13"/>
  <c r="F1633" i="13" s="1"/>
  <c r="E852" i="13"/>
  <c r="F852" i="13" s="1"/>
  <c r="D853" i="13" s="1"/>
  <c r="E591" i="13"/>
  <c r="F591" i="13" s="1"/>
  <c r="D592" i="13" s="1"/>
  <c r="E1059" i="20"/>
  <c r="F1059" i="20" s="1"/>
  <c r="G767" i="13"/>
  <c r="E1547" i="13"/>
  <c r="F1547" i="13" s="1"/>
  <c r="D1548" i="13" s="1"/>
  <c r="G1632" i="13"/>
  <c r="E249" i="20"/>
  <c r="F249" i="20" s="1"/>
  <c r="E519" i="20"/>
  <c r="F519" i="20" s="1"/>
  <c r="E607" i="20"/>
  <c r="F607" i="20" s="1"/>
  <c r="E1688" i="20"/>
  <c r="F1688" i="20" s="1"/>
  <c r="E1025" i="13"/>
  <c r="F1025" i="13" s="1"/>
  <c r="D1026" i="13" s="1"/>
  <c r="E678" i="13"/>
  <c r="F678" i="13" s="1"/>
  <c r="E155" i="13"/>
  <c r="F155" i="13" s="1"/>
  <c r="E940" i="13"/>
  <c r="F940" i="13" s="1"/>
  <c r="E1892" i="13"/>
  <c r="F1892" i="13" s="1"/>
  <c r="D1893" i="13" s="1"/>
  <c r="G1983" i="13"/>
  <c r="E1812" i="13"/>
  <c r="F1812" i="13" s="1"/>
  <c r="E1289" i="13"/>
  <c r="F1289" i="13" s="1"/>
  <c r="F880" i="20" l="1"/>
  <c r="D1985" i="13"/>
  <c r="E1985" i="13" s="1"/>
  <c r="F1985" i="13" s="1"/>
  <c r="D1986" i="13" s="1"/>
  <c r="G1984" i="13"/>
  <c r="D679" i="13"/>
  <c r="G678" i="13"/>
  <c r="D339" i="20"/>
  <c r="E339" i="20" s="1"/>
  <c r="F339" i="20" s="1"/>
  <c r="F1960" i="20"/>
  <c r="D1060" i="20"/>
  <c r="D502" i="13"/>
  <c r="G501" i="13"/>
  <c r="D250" i="20"/>
  <c r="D1290" i="13"/>
  <c r="G1289" i="13"/>
  <c r="D941" i="13"/>
  <c r="G940" i="13"/>
  <c r="D1689" i="20"/>
  <c r="D608" i="20"/>
  <c r="D520" i="20"/>
  <c r="D1113" i="13"/>
  <c r="G1112" i="13"/>
  <c r="D1813" i="13"/>
  <c r="G1812" i="13"/>
  <c r="D156" i="13"/>
  <c r="G155" i="13"/>
  <c r="D1634" i="13"/>
  <c r="G1633" i="13"/>
  <c r="G1025" i="13"/>
  <c r="E1548" i="13"/>
  <c r="F1548" i="13" s="1"/>
  <c r="D1549" i="13" s="1"/>
  <c r="G591" i="13"/>
  <c r="E769" i="13"/>
  <c r="E770" i="13" s="1"/>
  <c r="E1236" i="20"/>
  <c r="F1236" i="20" s="1"/>
  <c r="G852" i="13"/>
  <c r="E1376" i="13"/>
  <c r="F1376" i="13" s="1"/>
  <c r="E160" i="20"/>
  <c r="E161" i="20" s="1"/>
  <c r="E853" i="13"/>
  <c r="F853" i="13" s="1"/>
  <c r="E697" i="20"/>
  <c r="F697" i="20" s="1"/>
  <c r="D698" i="20" s="1"/>
  <c r="E1864" i="20"/>
  <c r="F1864" i="20" s="1"/>
  <c r="E1150" i="20"/>
  <c r="E1151" i="20" s="1"/>
  <c r="E1893" i="13"/>
  <c r="F1893" i="13" s="1"/>
  <c r="E1726" i="13"/>
  <c r="E1727" i="13" s="1"/>
  <c r="E1026" i="13"/>
  <c r="F1026" i="13" s="1"/>
  <c r="D1027" i="13" s="1"/>
  <c r="E592" i="13"/>
  <c r="F592" i="13" s="1"/>
  <c r="D593" i="13" s="1"/>
  <c r="E415" i="13"/>
  <c r="F415" i="13" s="1"/>
  <c r="G1547" i="13"/>
  <c r="A230" i="34"/>
  <c r="B234" i="34"/>
  <c r="E334" i="13"/>
  <c r="E335" i="13" s="1"/>
  <c r="E1462" i="13"/>
  <c r="F1462" i="13" s="1"/>
  <c r="D1463" i="13" s="1"/>
  <c r="E243" i="13"/>
  <c r="F243" i="13" s="1"/>
  <c r="D244" i="13" s="1"/>
  <c r="G1892" i="13"/>
  <c r="G768" i="13"/>
  <c r="E2049" i="20"/>
  <c r="E2050" i="20" s="1"/>
  <c r="E1200" i="13"/>
  <c r="F1200" i="13" s="1"/>
  <c r="D1201" i="13" s="1"/>
  <c r="E679" i="13" l="1"/>
  <c r="F679" i="13" s="1"/>
  <c r="D340" i="20"/>
  <c r="E340" i="20" s="1"/>
  <c r="E341" i="20" s="1"/>
  <c r="F2049" i="20"/>
  <c r="D1865" i="20"/>
  <c r="E1865" i="20" s="1"/>
  <c r="F1865" i="20" s="1"/>
  <c r="G1026" i="13"/>
  <c r="G1985" i="13"/>
  <c r="G1548" i="13"/>
  <c r="F1726" i="13"/>
  <c r="G1726" i="13" s="1"/>
  <c r="G592" i="13"/>
  <c r="D1237" i="20"/>
  <c r="D1894" i="13"/>
  <c r="G1893" i="13"/>
  <c r="D854" i="13"/>
  <c r="G853" i="13"/>
  <c r="D1377" i="13"/>
  <c r="G1376" i="13"/>
  <c r="D416" i="13"/>
  <c r="G415" i="13"/>
  <c r="E244" i="13"/>
  <c r="F244" i="13" s="1"/>
  <c r="D245" i="13" s="1"/>
  <c r="E698" i="20"/>
  <c r="F698" i="20" s="1"/>
  <c r="D699" i="20" s="1"/>
  <c r="E1201" i="13"/>
  <c r="F1201" i="13" s="1"/>
  <c r="D1202" i="13" s="1"/>
  <c r="E1027" i="13"/>
  <c r="F1027" i="13" s="1"/>
  <c r="E1986" i="13"/>
  <c r="F1986" i="13" s="1"/>
  <c r="D1987" i="13" s="1"/>
  <c r="E1113" i="13"/>
  <c r="F1113" i="13" s="1"/>
  <c r="D1114" i="13" s="1"/>
  <c r="E250" i="20"/>
  <c r="E251" i="20" s="1"/>
  <c r="F769" i="13"/>
  <c r="G769" i="13" s="1"/>
  <c r="E1689" i="20"/>
  <c r="F1689" i="20" s="1"/>
  <c r="E1813" i="13"/>
  <c r="E1814" i="13" s="1"/>
  <c r="E1463" i="13"/>
  <c r="F1463" i="13" s="1"/>
  <c r="D1464" i="13" s="1"/>
  <c r="E1634" i="13"/>
  <c r="F1634" i="13" s="1"/>
  <c r="E502" i="13"/>
  <c r="F502" i="13" s="1"/>
  <c r="D503" i="13" s="1"/>
  <c r="G1200" i="13"/>
  <c r="F160" i="20"/>
  <c r="E520" i="20"/>
  <c r="E521" i="20" s="1"/>
  <c r="E941" i="13"/>
  <c r="F941" i="13" s="1"/>
  <c r="A231" i="34"/>
  <c r="B235" i="34"/>
  <c r="E1549" i="13"/>
  <c r="F1549" i="13" s="1"/>
  <c r="D1550" i="13" s="1"/>
  <c r="E156" i="13"/>
  <c r="F156" i="13" s="1"/>
  <c r="D157" i="13" s="1"/>
  <c r="E608" i="20"/>
  <c r="F608" i="20" s="1"/>
  <c r="G1462" i="13"/>
  <c r="E593" i="13"/>
  <c r="F593" i="13" s="1"/>
  <c r="D594" i="13" s="1"/>
  <c r="G243" i="13"/>
  <c r="F334" i="13"/>
  <c r="G334" i="13" s="1"/>
  <c r="F1150" i="20"/>
  <c r="E1290" i="13"/>
  <c r="F1290" i="13" s="1"/>
  <c r="E1060" i="20"/>
  <c r="E1061" i="20" s="1"/>
  <c r="F1060" i="20" l="1"/>
  <c r="F520" i="20"/>
  <c r="D680" i="13"/>
  <c r="E680" i="13" s="1"/>
  <c r="F680" i="13" s="1"/>
  <c r="D681" i="13" s="1"/>
  <c r="G679" i="13"/>
  <c r="D942" i="13"/>
  <c r="E942" i="13" s="1"/>
  <c r="F942" i="13" s="1"/>
  <c r="D943" i="13" s="1"/>
  <c r="G941" i="13"/>
  <c r="D1635" i="13"/>
  <c r="E1635" i="13" s="1"/>
  <c r="F1635" i="13" s="1"/>
  <c r="D1636" i="13" s="1"/>
  <c r="G1634" i="13"/>
  <c r="G1463" i="13"/>
  <c r="G1986" i="13"/>
  <c r="F1813" i="13"/>
  <c r="G1813" i="13" s="1"/>
  <c r="F250" i="20"/>
  <c r="D609" i="20"/>
  <c r="D1866" i="20"/>
  <c r="D1690" i="20"/>
  <c r="D1291" i="13"/>
  <c r="G1290" i="13"/>
  <c r="D1028" i="13"/>
  <c r="G1027" i="13"/>
  <c r="E1377" i="13"/>
  <c r="F1377" i="13" s="1"/>
  <c r="G1549" i="13"/>
  <c r="G244" i="13"/>
  <c r="E854" i="13"/>
  <c r="F854" i="13" s="1"/>
  <c r="E699" i="20"/>
  <c r="F699" i="20" s="1"/>
  <c r="D700" i="20" s="1"/>
  <c r="E1114" i="13"/>
  <c r="F1114" i="13" s="1"/>
  <c r="A234" i="34"/>
  <c r="A235" i="34" s="1"/>
  <c r="A236" i="34" s="1"/>
  <c r="A237" i="34" s="1"/>
  <c r="B236" i="34"/>
  <c r="G1113" i="13"/>
  <c r="E1202" i="13"/>
  <c r="F1202" i="13" s="1"/>
  <c r="D1203" i="13" s="1"/>
  <c r="E245" i="13"/>
  <c r="F245" i="13" s="1"/>
  <c r="E1550" i="13"/>
  <c r="F1550" i="13" s="1"/>
  <c r="D1551" i="13" s="1"/>
  <c r="E594" i="13"/>
  <c r="F594" i="13" s="1"/>
  <c r="F340" i="20"/>
  <c r="G502" i="13"/>
  <c r="E1894" i="13"/>
  <c r="F1894" i="13" s="1"/>
  <c r="D1895" i="13" s="1"/>
  <c r="E503" i="13"/>
  <c r="F503" i="13" s="1"/>
  <c r="E1464" i="13"/>
  <c r="F1464" i="13" s="1"/>
  <c r="D1465" i="13" s="1"/>
  <c r="E1987" i="13"/>
  <c r="E1988" i="13" s="1"/>
  <c r="G1201" i="13"/>
  <c r="G593" i="13"/>
  <c r="G156" i="13"/>
  <c r="E416" i="13"/>
  <c r="F416" i="13" s="1"/>
  <c r="E157" i="13"/>
  <c r="F157" i="13" s="1"/>
  <c r="D158" i="13" s="1"/>
  <c r="E1237" i="20"/>
  <c r="F1237" i="20" s="1"/>
  <c r="G680" i="13" l="1"/>
  <c r="G157" i="13"/>
  <c r="F1987" i="13"/>
  <c r="G1987" i="13" s="1"/>
  <c r="D595" i="13"/>
  <c r="G594" i="13"/>
  <c r="D1115" i="13"/>
  <c r="G1114" i="13"/>
  <c r="D417" i="13"/>
  <c r="G416" i="13"/>
  <c r="D504" i="13"/>
  <c r="G503" i="13"/>
  <c r="D1238" i="20"/>
  <c r="D246" i="13"/>
  <c r="G245" i="13"/>
  <c r="D1378" i="13"/>
  <c r="G1377" i="13"/>
  <c r="D855" i="13"/>
  <c r="G854" i="13"/>
  <c r="E1551" i="13"/>
  <c r="F1551" i="13" s="1"/>
  <c r="D1552" i="13" s="1"/>
  <c r="E1203" i="13"/>
  <c r="F1203" i="13" s="1"/>
  <c r="D1204" i="13" s="1"/>
  <c r="E700" i="20"/>
  <c r="E701" i="20" s="1"/>
  <c r="E1028" i="13"/>
  <c r="F1028" i="13" s="1"/>
  <c r="E1636" i="13"/>
  <c r="F1636" i="13" s="1"/>
  <c r="E1895" i="13"/>
  <c r="F1895" i="13" s="1"/>
  <c r="D1896" i="13" s="1"/>
  <c r="G1635" i="13"/>
  <c r="E1690" i="20"/>
  <c r="E1691" i="20" s="1"/>
  <c r="G1894" i="13"/>
  <c r="E681" i="13"/>
  <c r="F681" i="13" s="1"/>
  <c r="G942" i="13"/>
  <c r="E1291" i="13"/>
  <c r="E1292" i="13" s="1"/>
  <c r="E1866" i="20"/>
  <c r="F1866" i="20" s="1"/>
  <c r="E1465" i="13"/>
  <c r="E1466" i="13" s="1"/>
  <c r="E943" i="13"/>
  <c r="E944" i="13" s="1"/>
  <c r="G1464" i="13"/>
  <c r="G1202" i="13"/>
  <c r="E158" i="13"/>
  <c r="F158" i="13" s="1"/>
  <c r="D159" i="13" s="1"/>
  <c r="G1550" i="13"/>
  <c r="E609" i="20"/>
  <c r="F609" i="20" s="1"/>
  <c r="D610" i="20" s="1"/>
  <c r="F1291" i="13" l="1"/>
  <c r="G1291" i="13" s="1"/>
  <c r="D1637" i="13"/>
  <c r="E1637" i="13" s="1"/>
  <c r="F1637" i="13" s="1"/>
  <c r="D1638" i="13" s="1"/>
  <c r="G1636" i="13"/>
  <c r="D682" i="13"/>
  <c r="E682" i="13" s="1"/>
  <c r="E683" i="13" s="1"/>
  <c r="G681" i="13"/>
  <c r="F1690" i="20"/>
  <c r="G1895" i="13"/>
  <c r="G158" i="13"/>
  <c r="D1029" i="13"/>
  <c r="G1028" i="13"/>
  <c r="D1867" i="20"/>
  <c r="E855" i="13"/>
  <c r="F855" i="13" s="1"/>
  <c r="E1896" i="13"/>
  <c r="F1896" i="13" s="1"/>
  <c r="E1204" i="13"/>
  <c r="E1205" i="13" s="1"/>
  <c r="E504" i="13"/>
  <c r="F504" i="13" s="1"/>
  <c r="E1378" i="13"/>
  <c r="E1379" i="13" s="1"/>
  <c r="F1465" i="13"/>
  <c r="G1465" i="13" s="1"/>
  <c r="G1203" i="13"/>
  <c r="E417" i="13"/>
  <c r="F417" i="13" s="1"/>
  <c r="E1552" i="13"/>
  <c r="E1553" i="13" s="1"/>
  <c r="E246" i="13"/>
  <c r="E247" i="13" s="1"/>
  <c r="E610" i="20"/>
  <c r="E611" i="20" s="1"/>
  <c r="E1115" i="13"/>
  <c r="F1115" i="13" s="1"/>
  <c r="E159" i="13"/>
  <c r="E160" i="13" s="1"/>
  <c r="F943" i="13"/>
  <c r="G943" i="13" s="1"/>
  <c r="G1551" i="13"/>
  <c r="F700" i="20"/>
  <c r="E1238" i="20"/>
  <c r="F1238" i="20" s="1"/>
  <c r="E595" i="13"/>
  <c r="E596" i="13" s="1"/>
  <c r="F246" i="13" l="1"/>
  <c r="G246" i="13" s="1"/>
  <c r="D1239" i="20"/>
  <c r="E1239" i="20" s="1"/>
  <c r="F1239" i="20" s="1"/>
  <c r="F1378" i="13"/>
  <c r="G1378" i="13" s="1"/>
  <c r="F595" i="13"/>
  <c r="G595" i="13" s="1"/>
  <c r="D856" i="13"/>
  <c r="G855" i="13"/>
  <c r="D1897" i="13"/>
  <c r="G1896" i="13"/>
  <c r="D1116" i="13"/>
  <c r="G1115" i="13"/>
  <c r="D418" i="13"/>
  <c r="G417" i="13"/>
  <c r="D505" i="13"/>
  <c r="G504" i="13"/>
  <c r="F610" i="20"/>
  <c r="F1552" i="13"/>
  <c r="G1552" i="13" s="1"/>
  <c r="E1867" i="20"/>
  <c r="F1867" i="20" s="1"/>
  <c r="F159" i="13"/>
  <c r="G159" i="13" s="1"/>
  <c r="F1204" i="13"/>
  <c r="G1204" i="13" s="1"/>
  <c r="E1638" i="13"/>
  <c r="F1638" i="13" s="1"/>
  <c r="F682" i="13"/>
  <c r="G682" i="13" s="1"/>
  <c r="G1637" i="13"/>
  <c r="E1029" i="13"/>
  <c r="F1029" i="13" s="1"/>
  <c r="D1240" i="20" l="1"/>
  <c r="D1030" i="13"/>
  <c r="G1029" i="13"/>
  <c r="D1639" i="13"/>
  <c r="G1638" i="13"/>
  <c r="D1868" i="20"/>
  <c r="E418" i="13"/>
  <c r="F418" i="13" s="1"/>
  <c r="D419" i="13" s="1"/>
  <c r="E1116" i="13"/>
  <c r="F1116" i="13" s="1"/>
  <c r="E505" i="13"/>
  <c r="F505" i="13" s="1"/>
  <c r="E1897" i="13"/>
  <c r="F1897" i="13" s="1"/>
  <c r="E856" i="13"/>
  <c r="E857" i="13" s="1"/>
  <c r="D1117" i="13" l="1"/>
  <c r="E1117" i="13" s="1"/>
  <c r="E1118" i="13" s="1"/>
  <c r="G1116" i="13"/>
  <c r="D506" i="13"/>
  <c r="G505" i="13"/>
  <c r="D1898" i="13"/>
  <c r="G1897" i="13"/>
  <c r="E1868" i="20"/>
  <c r="F1868" i="20" s="1"/>
  <c r="E1639" i="13"/>
  <c r="E1640" i="13" s="1"/>
  <c r="E1030" i="13"/>
  <c r="E1031" i="13" s="1"/>
  <c r="E419" i="13"/>
  <c r="F419" i="13" s="1"/>
  <c r="F856" i="13"/>
  <c r="G856" i="13" s="1"/>
  <c r="G418" i="13"/>
  <c r="E1240" i="20"/>
  <c r="E1241" i="20" s="1"/>
  <c r="F1240" i="20" l="1"/>
  <c r="F1117" i="13"/>
  <c r="G1117" i="13" s="1"/>
  <c r="D420" i="13"/>
  <c r="G419" i="13"/>
  <c r="D1869" i="20"/>
  <c r="F1030" i="13"/>
  <c r="G1030" i="13" s="1"/>
  <c r="F1639" i="13"/>
  <c r="G1639" i="13" s="1"/>
  <c r="E1898" i="13"/>
  <c r="F1898" i="13" s="1"/>
  <c r="E506" i="13"/>
  <c r="F506" i="13" s="1"/>
  <c r="D1899" i="13" l="1"/>
  <c r="E1899" i="13" s="1"/>
  <c r="F1899" i="13" s="1"/>
  <c r="G1898" i="13"/>
  <c r="D507" i="13"/>
  <c r="G506" i="13"/>
  <c r="E1869" i="20"/>
  <c r="F1869" i="20" s="1"/>
  <c r="D1870" i="20" s="1"/>
  <c r="E420" i="13"/>
  <c r="F420" i="13" s="1"/>
  <c r="D1900" i="13" l="1"/>
  <c r="G1899" i="13"/>
  <c r="D421" i="13"/>
  <c r="G420" i="13"/>
  <c r="E1870" i="20"/>
  <c r="E1871" i="20" s="1"/>
  <c r="E507" i="13"/>
  <c r="F507" i="13" s="1"/>
  <c r="D508" i="13" l="1"/>
  <c r="G507" i="13"/>
  <c r="F1870" i="20"/>
  <c r="E421" i="13"/>
  <c r="E422" i="13" s="1"/>
  <c r="E1900" i="13"/>
  <c r="E1901" i="13" s="1"/>
  <c r="F1900" i="13" l="1"/>
  <c r="G1900" i="13" s="1"/>
  <c r="F421" i="13"/>
  <c r="G421" i="13" s="1"/>
  <c r="E508" i="13"/>
  <c r="E509" i="13" s="1"/>
  <c r="F508" i="13" l="1"/>
  <c r="G508" i="13" s="1"/>
  <c r="J42" i="37" l="1"/>
  <c r="J52" i="37" s="1"/>
  <c r="R52" i="37"/>
  <c r="D42" i="37"/>
  <c r="E41" i="5" l="1"/>
  <c r="E43" i="5"/>
  <c r="I43" i="5" s="1"/>
  <c r="G42" i="37"/>
  <c r="F43" i="37"/>
  <c r="F52" i="37" l="1"/>
  <c r="D43" i="37"/>
  <c r="I41" i="5"/>
  <c r="E44" i="5"/>
  <c r="I44" i="5" l="1"/>
  <c r="L89" i="2" s="1"/>
  <c r="G89" i="2"/>
  <c r="G91" i="2" s="1"/>
  <c r="G112" i="2" s="1"/>
  <c r="G183" i="2" s="1"/>
  <c r="G177" i="2" s="1"/>
  <c r="G43" i="37"/>
  <c r="G52" i="37" s="1"/>
  <c r="D52" i="37"/>
  <c r="L91" i="2" l="1"/>
  <c r="L112" i="2" s="1"/>
  <c r="F28" i="20" s="1"/>
  <c r="F30" i="20" s="1"/>
  <c r="L183" i="2" l="1"/>
  <c r="F49" i="13" s="1"/>
  <c r="E28" i="13"/>
  <c r="E30" i="13" s="1"/>
  <c r="E34" i="13" s="1"/>
  <c r="E36" i="13" s="1"/>
  <c r="F34" i="20"/>
  <c r="F36" i="20" s="1"/>
  <c r="G56" i="20"/>
  <c r="F56" i="13" l="1"/>
  <c r="G49" i="20"/>
  <c r="L177" i="2"/>
  <c r="D77" i="36" l="1"/>
  <c r="F77" i="36"/>
  <c r="C77" i="36" l="1"/>
  <c r="E77" i="36"/>
  <c r="G77" i="36" l="1"/>
  <c r="G180" i="2" l="1"/>
  <c r="L176" i="2"/>
  <c r="L180" i="2" s="1"/>
  <c r="F39" i="20" l="1"/>
  <c r="E39" i="13"/>
  <c r="G179" i="2" l="1"/>
  <c r="G181" i="2" s="1"/>
  <c r="G191" i="2" s="1"/>
  <c r="L175" i="2"/>
  <c r="L179" i="2" s="1"/>
  <c r="E38" i="13" l="1"/>
  <c r="E40" i="13" s="1"/>
  <c r="F57" i="13" s="1"/>
  <c r="F38" i="20"/>
  <c r="F40" i="20" s="1"/>
  <c r="L181" i="2"/>
  <c r="F50" i="13" l="1"/>
  <c r="L191" i="2"/>
  <c r="L13" i="2" s="1"/>
  <c r="G57" i="20"/>
  <c r="G50" i="20"/>
  <c r="L18" i="2" l="1"/>
  <c r="L31" i="2"/>
  <c r="L34" i="2"/>
  <c r="G47" i="20"/>
  <c r="G51" i="20" s="1"/>
  <c r="G55" i="20" s="1"/>
  <c r="G58" i="20" s="1"/>
  <c r="F47" i="13"/>
  <c r="F51" i="13" s="1"/>
  <c r="F55" i="13" s="1"/>
  <c r="F58" i="13" s="1"/>
  <c r="L27" i="2"/>
  <c r="L28" i="2" s="1"/>
  <c r="F60" i="13" l="1"/>
  <c r="F68" i="13" s="1"/>
  <c r="F69" i="13" s="1"/>
  <c r="F65" i="13"/>
  <c r="F66" i="13" s="1"/>
  <c r="G60" i="20"/>
  <c r="G68" i="20" s="1"/>
  <c r="G69" i="20" s="1"/>
  <c r="G65" i="20"/>
  <c r="G66" i="20" s="1"/>
  <c r="F70" i="13"/>
  <c r="G70" i="20"/>
  <c r="I276" i="20" l="1"/>
  <c r="I277" i="20" s="1"/>
  <c r="I1626" i="20"/>
  <c r="I1627" i="20" s="1"/>
  <c r="I1716" i="20"/>
  <c r="I1717" i="20" s="1"/>
  <c r="I1446" i="20"/>
  <c r="I1447" i="20" s="1"/>
  <c r="I1266" i="20"/>
  <c r="I1267" i="20" s="1"/>
  <c r="I1985" i="20"/>
  <c r="I1986" i="20" s="1"/>
  <c r="I1806" i="20"/>
  <c r="I1807" i="20" s="1"/>
  <c r="I636" i="20"/>
  <c r="I637" i="20" s="1"/>
  <c r="I1086" i="20"/>
  <c r="I1087" i="20" s="1"/>
  <c r="I96" i="20"/>
  <c r="I1176" i="20"/>
  <c r="I1177" i="20" s="1"/>
  <c r="I1356" i="20"/>
  <c r="I1357" i="20" s="1"/>
  <c r="I1536" i="20"/>
  <c r="I1537" i="20" s="1"/>
  <c r="I996" i="20"/>
  <c r="I997" i="20" s="1"/>
  <c r="I546" i="20"/>
  <c r="I547" i="20" s="1"/>
  <c r="I456" i="20"/>
  <c r="I457" i="20" s="1"/>
  <c r="I366" i="20"/>
  <c r="I367" i="20" s="1"/>
  <c r="I906" i="20"/>
  <c r="I907" i="20" s="1"/>
  <c r="I186" i="20"/>
  <c r="I187" i="20" s="1"/>
  <c r="I1896" i="20"/>
  <c r="I1897" i="20" s="1"/>
  <c r="I726" i="20"/>
  <c r="I727" i="20" s="1"/>
  <c r="I816" i="20"/>
  <c r="I817" i="20" s="1"/>
  <c r="J966" i="13"/>
  <c r="J444" i="13"/>
  <c r="J792" i="13"/>
  <c r="J1140" i="13"/>
  <c r="J1053" i="13"/>
  <c r="J1749" i="13"/>
  <c r="J182" i="13"/>
  <c r="J705" i="13"/>
  <c r="J1401" i="13"/>
  <c r="J270" i="13"/>
  <c r="J879" i="13"/>
  <c r="J1488" i="13"/>
  <c r="J1662" i="13"/>
  <c r="J357" i="13"/>
  <c r="J1575" i="13"/>
  <c r="J95" i="13"/>
  <c r="J531" i="13"/>
  <c r="J1227" i="13"/>
  <c r="J1923" i="13"/>
  <c r="J618" i="13"/>
  <c r="J1314" i="13"/>
  <c r="J1836" i="13"/>
  <c r="G71" i="20"/>
  <c r="F71" i="13"/>
  <c r="H1236" i="13" l="1"/>
  <c r="M1236" i="13" s="1"/>
  <c r="H1233" i="13"/>
  <c r="M1233" i="13" s="1"/>
  <c r="H1260" i="13"/>
  <c r="H1269" i="13"/>
  <c r="H1286" i="13"/>
  <c r="H1278" i="13"/>
  <c r="H1290" i="13"/>
  <c r="H1291" i="13"/>
  <c r="H1239" i="13"/>
  <c r="H1242" i="13"/>
  <c r="H1268" i="13"/>
  <c r="H1277" i="13"/>
  <c r="H1255" i="13"/>
  <c r="H1264" i="13"/>
  <c r="H1275" i="13"/>
  <c r="H1247" i="13"/>
  <c r="H1250" i="13"/>
  <c r="H1276" i="13"/>
  <c r="H1285" i="13"/>
  <c r="H1263" i="13"/>
  <c r="H1272" i="13"/>
  <c r="H1273" i="13"/>
  <c r="H1258" i="13"/>
  <c r="H1289" i="13"/>
  <c r="H1284" i="13"/>
  <c r="H1252" i="13"/>
  <c r="H1271" i="13"/>
  <c r="H1280" i="13"/>
  <c r="H1274" i="13"/>
  <c r="H1266" i="13"/>
  <c r="H1240" i="13"/>
  <c r="J1228" i="13"/>
  <c r="H1283" i="13"/>
  <c r="H1262" i="13"/>
  <c r="H1279" i="13"/>
  <c r="H1288" i="13"/>
  <c r="H1235" i="13"/>
  <c r="M1235" i="13" s="1"/>
  <c r="H1238" i="13"/>
  <c r="M1238" i="13" s="1"/>
  <c r="H1234" i="13"/>
  <c r="M1234" i="13" s="1"/>
  <c r="H1245" i="13"/>
  <c r="H1265" i="13"/>
  <c r="H1270" i="13"/>
  <c r="H1287" i="13"/>
  <c r="H1244" i="13"/>
  <c r="H1281" i="13"/>
  <c r="H1246" i="13"/>
  <c r="H1241" i="13"/>
  <c r="H1253" i="13"/>
  <c r="H1237" i="13"/>
  <c r="M1237" i="13" s="1"/>
  <c r="H1256" i="13"/>
  <c r="H1232" i="13"/>
  <c r="H1259" i="13"/>
  <c r="H1243" i="13"/>
  <c r="H1261" i="13"/>
  <c r="H1251" i="13"/>
  <c r="H1248" i="13"/>
  <c r="H1257" i="13"/>
  <c r="H1267" i="13"/>
  <c r="H1282" i="13"/>
  <c r="H1249" i="13"/>
  <c r="H1254" i="13"/>
  <c r="H289" i="13"/>
  <c r="H281" i="13"/>
  <c r="M281" i="13" s="1"/>
  <c r="H283" i="13"/>
  <c r="M283" i="13" s="1"/>
  <c r="H332" i="13"/>
  <c r="H328" i="13"/>
  <c r="H276" i="13"/>
  <c r="M276" i="13" s="1"/>
  <c r="H303" i="13"/>
  <c r="H299" i="13"/>
  <c r="H291" i="13"/>
  <c r="H308" i="13"/>
  <c r="H286" i="13"/>
  <c r="H333" i="13"/>
  <c r="H311" i="13"/>
  <c r="H305" i="13"/>
  <c r="H284" i="13"/>
  <c r="M284" i="13" s="1"/>
  <c r="H317" i="13"/>
  <c r="H310" i="13"/>
  <c r="H313" i="13"/>
  <c r="H292" i="13"/>
  <c r="H319" i="13"/>
  <c r="H314" i="13"/>
  <c r="H285" i="13"/>
  <c r="H320" i="13"/>
  <c r="H325" i="13"/>
  <c r="H326" i="13"/>
  <c r="H327" i="13"/>
  <c r="H318" i="13"/>
  <c r="H302" i="13"/>
  <c r="H322" i="13"/>
  <c r="H293" i="13"/>
  <c r="H280" i="13"/>
  <c r="M280" i="13" s="1"/>
  <c r="H282" i="13"/>
  <c r="M282" i="13" s="1"/>
  <c r="H295" i="13"/>
  <c r="H300" i="13"/>
  <c r="H294" i="13"/>
  <c r="H330" i="13"/>
  <c r="H331" i="13"/>
  <c r="H301" i="13"/>
  <c r="H288" i="13"/>
  <c r="H290" i="13"/>
  <c r="H307" i="13"/>
  <c r="H329" i="13"/>
  <c r="H312" i="13"/>
  <c r="H315" i="13"/>
  <c r="H287" i="13"/>
  <c r="H309" i="13"/>
  <c r="H296" i="13"/>
  <c r="H298" i="13"/>
  <c r="H316" i="13"/>
  <c r="H323" i="13"/>
  <c r="H334" i="13"/>
  <c r="H321" i="13"/>
  <c r="H297" i="13"/>
  <c r="H275" i="13"/>
  <c r="H278" i="13"/>
  <c r="M278" i="13" s="1"/>
  <c r="H279" i="13"/>
  <c r="M279" i="13" s="1"/>
  <c r="H304" i="13"/>
  <c r="H306" i="13"/>
  <c r="J271" i="13"/>
  <c r="H324" i="13"/>
  <c r="H277" i="13"/>
  <c r="M277" i="13" s="1"/>
  <c r="J445" i="13"/>
  <c r="H496" i="13"/>
  <c r="H497" i="13"/>
  <c r="H489" i="13"/>
  <c r="H503" i="13"/>
  <c r="H471" i="13"/>
  <c r="H485" i="13"/>
  <c r="H464" i="13"/>
  <c r="H457" i="13"/>
  <c r="M457" i="13" s="1"/>
  <c r="H505" i="13"/>
  <c r="H506" i="13"/>
  <c r="H498" i="13"/>
  <c r="H462" i="13"/>
  <c r="H479" i="13"/>
  <c r="H451" i="13"/>
  <c r="M451" i="13" s="1"/>
  <c r="H472" i="13"/>
  <c r="H465" i="13"/>
  <c r="H453" i="13"/>
  <c r="M453" i="13" s="1"/>
  <c r="H449" i="13"/>
  <c r="H507" i="13"/>
  <c r="H501" i="13"/>
  <c r="H487" i="13"/>
  <c r="H486" i="13"/>
  <c r="H480" i="13"/>
  <c r="H473" i="13"/>
  <c r="H458" i="13"/>
  <c r="M458" i="13" s="1"/>
  <c r="H459" i="13"/>
  <c r="H450" i="13"/>
  <c r="M450" i="13" s="1"/>
  <c r="H490" i="13"/>
  <c r="H491" i="13"/>
  <c r="H470" i="13"/>
  <c r="H481" i="13"/>
  <c r="H466" i="13"/>
  <c r="H467" i="13"/>
  <c r="H460" i="13"/>
  <c r="H499" i="13"/>
  <c r="H500" i="13"/>
  <c r="H495" i="13"/>
  <c r="H492" i="13"/>
  <c r="H474" i="13"/>
  <c r="H475" i="13"/>
  <c r="H468" i="13"/>
  <c r="H508" i="13"/>
  <c r="H477" i="13"/>
  <c r="H493" i="13"/>
  <c r="H461" i="13"/>
  <c r="H494" i="13"/>
  <c r="H482" i="13"/>
  <c r="H483" i="13"/>
  <c r="H476" i="13"/>
  <c r="H455" i="13"/>
  <c r="M455" i="13" s="1"/>
  <c r="H478" i="13"/>
  <c r="H454" i="13"/>
  <c r="M454" i="13" s="1"/>
  <c r="H502" i="13"/>
  <c r="H488" i="13"/>
  <c r="H469" i="13"/>
  <c r="H484" i="13"/>
  <c r="H463" i="13"/>
  <c r="H452" i="13"/>
  <c r="M452" i="13" s="1"/>
  <c r="H504" i="13"/>
  <c r="H456" i="13"/>
  <c r="M456" i="13" s="1"/>
  <c r="H556" i="13"/>
  <c r="H557" i="13"/>
  <c r="H544" i="13"/>
  <c r="M544" i="13" s="1"/>
  <c r="H543" i="13"/>
  <c r="M543" i="13" s="1"/>
  <c r="H590" i="13"/>
  <c r="H591" i="13"/>
  <c r="H585" i="13"/>
  <c r="H564" i="13"/>
  <c r="H565" i="13"/>
  <c r="H550" i="13"/>
  <c r="H582" i="13"/>
  <c r="J532" i="13"/>
  <c r="H537" i="13"/>
  <c r="M537" i="13" s="1"/>
  <c r="H594" i="13"/>
  <c r="H572" i="13"/>
  <c r="H573" i="13"/>
  <c r="H568" i="13"/>
  <c r="H584" i="13"/>
  <c r="H542" i="13"/>
  <c r="M542" i="13" s="1"/>
  <c r="H545" i="13"/>
  <c r="M545" i="13" s="1"/>
  <c r="H538" i="13"/>
  <c r="M538" i="13" s="1"/>
  <c r="H577" i="13"/>
  <c r="H554" i="13"/>
  <c r="H581" i="13"/>
  <c r="H576" i="13"/>
  <c r="H560" i="13"/>
  <c r="H551" i="13"/>
  <c r="H553" i="13"/>
  <c r="H547" i="13"/>
  <c r="H586" i="13"/>
  <c r="H578" i="13"/>
  <c r="H539" i="13"/>
  <c r="M539" i="13" s="1"/>
  <c r="H552" i="13"/>
  <c r="H592" i="13"/>
  <c r="H559" i="13"/>
  <c r="H561" i="13"/>
  <c r="H555" i="13"/>
  <c r="H595" i="13"/>
  <c r="H587" i="13"/>
  <c r="H579" i="13"/>
  <c r="H540" i="13"/>
  <c r="M540" i="13" s="1"/>
  <c r="H566" i="13"/>
  <c r="H567" i="13"/>
  <c r="H569" i="13"/>
  <c r="H563" i="13"/>
  <c r="H536" i="13"/>
  <c r="H541" i="13"/>
  <c r="M541" i="13" s="1"/>
  <c r="H588" i="13"/>
  <c r="H570" i="13"/>
  <c r="H546" i="13"/>
  <c r="H583" i="13"/>
  <c r="H562" i="13"/>
  <c r="H571" i="13"/>
  <c r="H589" i="13"/>
  <c r="H558" i="13"/>
  <c r="H574" i="13"/>
  <c r="H575" i="13"/>
  <c r="H593" i="13"/>
  <c r="H548" i="13"/>
  <c r="H580" i="13"/>
  <c r="H549" i="13"/>
  <c r="H1456" i="13"/>
  <c r="H1448" i="13"/>
  <c r="H1440" i="13"/>
  <c r="H1432" i="13"/>
  <c r="H1424" i="13"/>
  <c r="H1425" i="13"/>
  <c r="H1418" i="13"/>
  <c r="H1452" i="13"/>
  <c r="H1453" i="13"/>
  <c r="H1457" i="13"/>
  <c r="H1449" i="13"/>
  <c r="H1441" i="13"/>
  <c r="H1433" i="13"/>
  <c r="H1434" i="13"/>
  <c r="H1408" i="13"/>
  <c r="M1408" i="13" s="1"/>
  <c r="H1462" i="13"/>
  <c r="H1460" i="13"/>
  <c r="H1428" i="13"/>
  <c r="H1458" i="13"/>
  <c r="H1450" i="13"/>
  <c r="H1442" i="13"/>
  <c r="H1411" i="13"/>
  <c r="M1411" i="13" s="1"/>
  <c r="H1427" i="13"/>
  <c r="H1409" i="13"/>
  <c r="M1409" i="13" s="1"/>
  <c r="H1463" i="13"/>
  <c r="H1406" i="13"/>
  <c r="J1402" i="13"/>
  <c r="H1413" i="13"/>
  <c r="M1413" i="13" s="1"/>
  <c r="H1443" i="13"/>
  <c r="H1429" i="13"/>
  <c r="H1446" i="13"/>
  <c r="H1451" i="13"/>
  <c r="H1410" i="13"/>
  <c r="M1410" i="13" s="1"/>
  <c r="H1464" i="13"/>
  <c r="H1412" i="13"/>
  <c r="M1412" i="13" s="1"/>
  <c r="H1417" i="13"/>
  <c r="H1426" i="13"/>
  <c r="H1454" i="13"/>
  <c r="H1455" i="13"/>
  <c r="H1419" i="13"/>
  <c r="H1461" i="13"/>
  <c r="H1437" i="13"/>
  <c r="H1465" i="13"/>
  <c r="H1414" i="13"/>
  <c r="H1420" i="13"/>
  <c r="H1444" i="13"/>
  <c r="H1459" i="13"/>
  <c r="H1438" i="13"/>
  <c r="H1430" i="13"/>
  <c r="H1422" i="13"/>
  <c r="H1421" i="13"/>
  <c r="H1435" i="13"/>
  <c r="H1445" i="13"/>
  <c r="H1436" i="13"/>
  <c r="H1423" i="13"/>
  <c r="H1415" i="13"/>
  <c r="H1416" i="13"/>
  <c r="H1407" i="13"/>
  <c r="M1407" i="13" s="1"/>
  <c r="H1447" i="13"/>
  <c r="H1431" i="13"/>
  <c r="H1439" i="13"/>
  <c r="H983" i="13"/>
  <c r="H992" i="13"/>
  <c r="H981" i="13"/>
  <c r="H988" i="13"/>
  <c r="H980" i="13"/>
  <c r="M980" i="13" s="1"/>
  <c r="H1029" i="13"/>
  <c r="H1030" i="13"/>
  <c r="H1014" i="13"/>
  <c r="H991" i="13"/>
  <c r="H1000" i="13"/>
  <c r="H971" i="13"/>
  <c r="H996" i="13"/>
  <c r="H975" i="13"/>
  <c r="M975" i="13" s="1"/>
  <c r="H973" i="13"/>
  <c r="M973" i="13" s="1"/>
  <c r="H972" i="13"/>
  <c r="M972" i="13" s="1"/>
  <c r="H1023" i="13"/>
  <c r="H999" i="13"/>
  <c r="H1008" i="13"/>
  <c r="H1001" i="13"/>
  <c r="H997" i="13"/>
  <c r="H1022" i="13"/>
  <c r="H1005" i="13"/>
  <c r="H989" i="13"/>
  <c r="H985" i="13"/>
  <c r="H1007" i="13"/>
  <c r="H1016" i="13"/>
  <c r="H1009" i="13"/>
  <c r="H1002" i="13"/>
  <c r="H1003" i="13"/>
  <c r="H1004" i="13"/>
  <c r="H984" i="13"/>
  <c r="H993" i="13"/>
  <c r="H1015" i="13"/>
  <c r="H1024" i="13"/>
  <c r="H1017" i="13"/>
  <c r="H1010" i="13"/>
  <c r="H1011" i="13"/>
  <c r="H1012" i="13"/>
  <c r="H982" i="13"/>
  <c r="H1013" i="13"/>
  <c r="H977" i="13"/>
  <c r="M977" i="13" s="1"/>
  <c r="H978" i="13"/>
  <c r="M978" i="13" s="1"/>
  <c r="H1025" i="13"/>
  <c r="H1018" i="13"/>
  <c r="H1019" i="13"/>
  <c r="H1020" i="13"/>
  <c r="H990" i="13"/>
  <c r="H986" i="13"/>
  <c r="H987" i="13"/>
  <c r="J967" i="13"/>
  <c r="H1026" i="13"/>
  <c r="H1027" i="13"/>
  <c r="H1028" i="13"/>
  <c r="H998" i="13"/>
  <c r="H995" i="13"/>
  <c r="H979" i="13"/>
  <c r="M979" i="13" s="1"/>
  <c r="H976" i="13"/>
  <c r="M976" i="13" s="1"/>
  <c r="H974" i="13"/>
  <c r="M974" i="13" s="1"/>
  <c r="H1021" i="13"/>
  <c r="H1006" i="13"/>
  <c r="H994" i="13"/>
  <c r="H107" i="13"/>
  <c r="M107" i="13" s="1"/>
  <c r="H108" i="13"/>
  <c r="M108" i="13" s="1"/>
  <c r="H109" i="13"/>
  <c r="M109" i="13" s="1"/>
  <c r="J96" i="13"/>
  <c r="H110" i="13"/>
  <c r="M110" i="13" s="1"/>
  <c r="H112" i="13"/>
  <c r="H119" i="13"/>
  <c r="H116" i="13"/>
  <c r="H117" i="13"/>
  <c r="H103" i="13"/>
  <c r="M103" i="13" s="1"/>
  <c r="H133" i="13"/>
  <c r="H118" i="13"/>
  <c r="H120" i="13"/>
  <c r="H127" i="13"/>
  <c r="H124" i="13"/>
  <c r="H125" i="13"/>
  <c r="H132" i="13"/>
  <c r="H141" i="13"/>
  <c r="H126" i="13"/>
  <c r="H128" i="13"/>
  <c r="H135" i="13"/>
  <c r="H121" i="13"/>
  <c r="H130" i="13"/>
  <c r="H131" i="13"/>
  <c r="H140" i="13"/>
  <c r="H149" i="13"/>
  <c r="H134" i="13"/>
  <c r="H136" i="13"/>
  <c r="H143" i="13"/>
  <c r="H129" i="13"/>
  <c r="H138" i="13"/>
  <c r="H139" i="13"/>
  <c r="H148" i="13"/>
  <c r="H157" i="13"/>
  <c r="H142" i="13"/>
  <c r="H144" i="13"/>
  <c r="H152" i="13"/>
  <c r="H137" i="13"/>
  <c r="H146" i="13"/>
  <c r="H147" i="13"/>
  <c r="H156" i="13"/>
  <c r="H150" i="13"/>
  <c r="H151" i="13"/>
  <c r="H106" i="13"/>
  <c r="M106" i="13" s="1"/>
  <c r="H114" i="13"/>
  <c r="H145" i="13"/>
  <c r="H154" i="13"/>
  <c r="H155" i="13"/>
  <c r="H105" i="13"/>
  <c r="M105" i="13" s="1"/>
  <c r="H159" i="13"/>
  <c r="H104" i="13"/>
  <c r="M104" i="13" s="1"/>
  <c r="H115" i="13"/>
  <c r="H122" i="13"/>
  <c r="H153" i="13"/>
  <c r="H102" i="13"/>
  <c r="M102" i="13" s="1"/>
  <c r="H100" i="13"/>
  <c r="H158" i="13"/>
  <c r="H101" i="13"/>
  <c r="M101" i="13" s="1"/>
  <c r="H113" i="13"/>
  <c r="H123" i="13"/>
  <c r="H111" i="13"/>
  <c r="H723" i="13"/>
  <c r="H724" i="13"/>
  <c r="H714" i="13"/>
  <c r="M714" i="13" s="1"/>
  <c r="H765" i="13"/>
  <c r="H757" i="13"/>
  <c r="H737" i="13"/>
  <c r="H752" i="13"/>
  <c r="H746" i="13"/>
  <c r="H731" i="13"/>
  <c r="H732" i="13"/>
  <c r="H717" i="13"/>
  <c r="M717" i="13" s="1"/>
  <c r="H713" i="13"/>
  <c r="M713" i="13" s="1"/>
  <c r="H766" i="13"/>
  <c r="H758" i="13"/>
  <c r="H729" i="13"/>
  <c r="H754" i="13"/>
  <c r="H739" i="13"/>
  <c r="H740" i="13"/>
  <c r="H725" i="13"/>
  <c r="H718" i="13"/>
  <c r="M718" i="13" s="1"/>
  <c r="H711" i="13"/>
  <c r="M711" i="13" s="1"/>
  <c r="H767" i="13"/>
  <c r="H760" i="13"/>
  <c r="H745" i="13"/>
  <c r="H747" i="13"/>
  <c r="H748" i="13"/>
  <c r="H733" i="13"/>
  <c r="H726" i="13"/>
  <c r="H719" i="13"/>
  <c r="H710" i="13"/>
  <c r="H769" i="13"/>
  <c r="H755" i="13"/>
  <c r="H756" i="13"/>
  <c r="H741" i="13"/>
  <c r="H734" i="13"/>
  <c r="H727" i="13"/>
  <c r="H720" i="13"/>
  <c r="H712" i="13"/>
  <c r="M712" i="13" s="1"/>
  <c r="H763" i="13"/>
  <c r="H764" i="13"/>
  <c r="H749" i="13"/>
  <c r="H742" i="13"/>
  <c r="H735" i="13"/>
  <c r="H728" i="13"/>
  <c r="H722" i="13"/>
  <c r="H761" i="13"/>
  <c r="J706" i="13"/>
  <c r="H721" i="13"/>
  <c r="H759" i="13"/>
  <c r="H750" i="13"/>
  <c r="H743" i="13"/>
  <c r="H736" i="13"/>
  <c r="H730" i="13"/>
  <c r="H715" i="13"/>
  <c r="M715" i="13" s="1"/>
  <c r="H762" i="13"/>
  <c r="H716" i="13"/>
  <c r="M716" i="13" s="1"/>
  <c r="H753" i="13"/>
  <c r="H768" i="13"/>
  <c r="H751" i="13"/>
  <c r="H744" i="13"/>
  <c r="H738" i="13"/>
  <c r="H1623" i="13"/>
  <c r="H1580" i="13"/>
  <c r="H1598" i="13"/>
  <c r="H1589" i="13"/>
  <c r="H1583" i="13"/>
  <c r="M1583" i="13" s="1"/>
  <c r="H1636" i="13"/>
  <c r="H1629" i="13"/>
  <c r="H1631" i="13"/>
  <c r="H1593" i="13"/>
  <c r="H1592" i="13"/>
  <c r="H1594" i="13"/>
  <c r="H1638" i="13"/>
  <c r="H1590" i="13"/>
  <c r="H1585" i="13"/>
  <c r="M1585" i="13" s="1"/>
  <c r="H1637" i="13"/>
  <c r="H1601" i="13"/>
  <c r="H1599" i="13"/>
  <c r="H1600" i="13"/>
  <c r="H1602" i="13"/>
  <c r="H1595" i="13"/>
  <c r="H1606" i="13"/>
  <c r="H1615" i="13"/>
  <c r="H1582" i="13"/>
  <c r="M1582" i="13" s="1"/>
  <c r="H1633" i="13"/>
  <c r="H1607" i="13"/>
  <c r="H1608" i="13"/>
  <c r="H1610" i="13"/>
  <c r="H1603" i="13"/>
  <c r="H1596" i="13"/>
  <c r="H1630" i="13"/>
  <c r="H1591" i="13"/>
  <c r="H1586" i="13"/>
  <c r="M1586" i="13" s="1"/>
  <c r="H1639" i="13"/>
  <c r="H1616" i="13"/>
  <c r="H1618" i="13"/>
  <c r="H1611" i="13"/>
  <c r="H1604" i="13"/>
  <c r="H1597" i="13"/>
  <c r="H1614" i="13"/>
  <c r="H1622" i="13"/>
  <c r="H1632" i="13"/>
  <c r="H1624" i="13"/>
  <c r="H1626" i="13"/>
  <c r="H1619" i="13"/>
  <c r="H1612" i="13"/>
  <c r="H1605" i="13"/>
  <c r="H1584" i="13"/>
  <c r="M1584" i="13" s="1"/>
  <c r="H1587" i="13"/>
  <c r="M1587" i="13" s="1"/>
  <c r="H1581" i="13"/>
  <c r="M1581" i="13" s="1"/>
  <c r="H1634" i="13"/>
  <c r="H1627" i="13"/>
  <c r="H1620" i="13"/>
  <c r="H1613" i="13"/>
  <c r="H1617" i="13"/>
  <c r="H1625" i="13"/>
  <c r="H1621" i="13"/>
  <c r="H1609" i="13"/>
  <c r="H1588" i="13"/>
  <c r="J1576" i="13"/>
  <c r="H1635" i="13"/>
  <c r="H1628" i="13"/>
  <c r="H205" i="13"/>
  <c r="H187" i="13"/>
  <c r="H198" i="13"/>
  <c r="M198" i="13" s="1"/>
  <c r="H207" i="13"/>
  <c r="H216" i="13"/>
  <c r="H225" i="13"/>
  <c r="H192" i="13"/>
  <c r="M192" i="13" s="1"/>
  <c r="H226" i="13"/>
  <c r="H213" i="13"/>
  <c r="H196" i="13"/>
  <c r="M196" i="13" s="1"/>
  <c r="H206" i="13"/>
  <c r="H215" i="13"/>
  <c r="H224" i="13"/>
  <c r="H233" i="13"/>
  <c r="H229" i="13"/>
  <c r="H223" i="13"/>
  <c r="H237" i="13"/>
  <c r="H204" i="13"/>
  <c r="H214" i="13"/>
  <c r="H220" i="13"/>
  <c r="H222" i="13"/>
  <c r="H232" i="13"/>
  <c r="H231" i="13"/>
  <c r="H245" i="13"/>
  <c r="H212" i="13"/>
  <c r="H243" i="13"/>
  <c r="H228" i="13"/>
  <c r="H230" i="13"/>
  <c r="H240" i="13"/>
  <c r="H193" i="13"/>
  <c r="M193" i="13" s="1"/>
  <c r="H211" i="13"/>
  <c r="H203" i="13"/>
  <c r="H236" i="13"/>
  <c r="H238" i="13"/>
  <c r="H239" i="13"/>
  <c r="H194" i="13"/>
  <c r="M194" i="13" s="1"/>
  <c r="H202" i="13"/>
  <c r="H241" i="13"/>
  <c r="H242" i="13"/>
  <c r="H227" i="13"/>
  <c r="H246" i="13"/>
  <c r="H188" i="13"/>
  <c r="M188" i="13" s="1"/>
  <c r="H201" i="13"/>
  <c r="H221" i="13"/>
  <c r="H234" i="13"/>
  <c r="J183" i="13"/>
  <c r="H190" i="13"/>
  <c r="M190" i="13" s="1"/>
  <c r="H244" i="13"/>
  <c r="H191" i="13"/>
  <c r="M191" i="13" s="1"/>
  <c r="H200" i="13"/>
  <c r="H209" i="13"/>
  <c r="H195" i="13"/>
  <c r="M195" i="13" s="1"/>
  <c r="H210" i="13"/>
  <c r="H218" i="13"/>
  <c r="H219" i="13"/>
  <c r="H235" i="13"/>
  <c r="H197" i="13"/>
  <c r="M197" i="13" s="1"/>
  <c r="H189" i="13"/>
  <c r="M189" i="13" s="1"/>
  <c r="H199" i="13"/>
  <c r="H208" i="13"/>
  <c r="H217" i="13"/>
  <c r="H1850" i="13"/>
  <c r="H1851" i="13"/>
  <c r="H1852" i="13"/>
  <c r="H1853" i="13"/>
  <c r="H1846" i="13"/>
  <c r="M1846" i="13" s="1"/>
  <c r="H1863" i="13"/>
  <c r="H1865" i="13"/>
  <c r="H1858" i="13"/>
  <c r="H1859" i="13"/>
  <c r="H1860" i="13"/>
  <c r="H1861" i="13"/>
  <c r="H1854" i="13"/>
  <c r="H1862" i="13"/>
  <c r="H1877" i="13"/>
  <c r="H1866" i="13"/>
  <c r="H1867" i="13"/>
  <c r="H1868" i="13"/>
  <c r="H1869" i="13"/>
  <c r="H1876" i="13"/>
  <c r="H1870" i="13"/>
  <c r="H1864" i="13"/>
  <c r="H1871" i="13"/>
  <c r="H1872" i="13"/>
  <c r="H1873" i="13"/>
  <c r="H1874" i="13"/>
  <c r="H1875" i="13"/>
  <c r="H1884" i="13"/>
  <c r="H1878" i="13"/>
  <c r="H1885" i="13"/>
  <c r="H1879" i="13"/>
  <c r="H1880" i="13"/>
  <c r="H1881" i="13"/>
  <c r="H1882" i="13"/>
  <c r="H1883" i="13"/>
  <c r="H1892" i="13"/>
  <c r="H1886" i="13"/>
  <c r="H1893" i="13"/>
  <c r="H1887" i="13"/>
  <c r="H1888" i="13"/>
  <c r="H1889" i="13"/>
  <c r="H1890" i="13"/>
  <c r="H1891" i="13"/>
  <c r="H1900" i="13"/>
  <c r="H1844" i="13"/>
  <c r="M1844" i="13" s="1"/>
  <c r="H1894" i="13"/>
  <c r="H1895" i="13"/>
  <c r="H1896" i="13"/>
  <c r="H1897" i="13"/>
  <c r="H1898" i="13"/>
  <c r="H1899" i="13"/>
  <c r="H1847" i="13"/>
  <c r="H1849" i="13"/>
  <c r="H1848" i="13"/>
  <c r="H1841" i="13"/>
  <c r="H1842" i="13"/>
  <c r="M1842" i="13" s="1"/>
  <c r="H1843" i="13"/>
  <c r="M1843" i="13" s="1"/>
  <c r="H1845" i="13"/>
  <c r="M1845" i="13" s="1"/>
  <c r="H1855" i="13"/>
  <c r="H1857" i="13"/>
  <c r="H1856" i="13"/>
  <c r="J1837" i="13"/>
  <c r="H363" i="13"/>
  <c r="M363" i="13" s="1"/>
  <c r="H384" i="13"/>
  <c r="H401" i="13"/>
  <c r="H365" i="13"/>
  <c r="M365" i="13" s="1"/>
  <c r="H417" i="13"/>
  <c r="H412" i="13"/>
  <c r="H383" i="13"/>
  <c r="H390" i="13"/>
  <c r="H392" i="13"/>
  <c r="H409" i="13"/>
  <c r="H373" i="13"/>
  <c r="H380" i="13"/>
  <c r="H420" i="13"/>
  <c r="H371" i="13"/>
  <c r="M371" i="13" s="1"/>
  <c r="H391" i="13"/>
  <c r="H398" i="13"/>
  <c r="H400" i="13"/>
  <c r="H364" i="13"/>
  <c r="M364" i="13" s="1"/>
  <c r="H381" i="13"/>
  <c r="H410" i="13"/>
  <c r="H366" i="13"/>
  <c r="M366" i="13" s="1"/>
  <c r="H403" i="13"/>
  <c r="H399" i="13"/>
  <c r="H414" i="13"/>
  <c r="J358" i="13"/>
  <c r="H370" i="13"/>
  <c r="M370" i="13" s="1"/>
  <c r="H389" i="13"/>
  <c r="H418" i="13"/>
  <c r="H395" i="13"/>
  <c r="H415" i="13"/>
  <c r="H407" i="13"/>
  <c r="H406" i="13"/>
  <c r="H369" i="13"/>
  <c r="M369" i="13" s="1"/>
  <c r="H378" i="13"/>
  <c r="H397" i="13"/>
  <c r="H387" i="13"/>
  <c r="H413" i="13"/>
  <c r="H372" i="13"/>
  <c r="H362" i="13"/>
  <c r="H367" i="13"/>
  <c r="M367" i="13" s="1"/>
  <c r="H377" i="13"/>
  <c r="H386" i="13"/>
  <c r="H405" i="13"/>
  <c r="H411" i="13"/>
  <c r="H421" i="13"/>
  <c r="H404" i="13"/>
  <c r="H376" i="13"/>
  <c r="H385" i="13"/>
  <c r="H394" i="13"/>
  <c r="H379" i="13"/>
  <c r="H419" i="13"/>
  <c r="H368" i="13"/>
  <c r="M368" i="13" s="1"/>
  <c r="H416" i="13"/>
  <c r="H374" i="13"/>
  <c r="H393" i="13"/>
  <c r="H402" i="13"/>
  <c r="H408" i="13"/>
  <c r="H388" i="13"/>
  <c r="H396" i="13"/>
  <c r="H375" i="13"/>
  <c r="H382" i="13"/>
  <c r="H1769" i="13"/>
  <c r="H1757" i="13"/>
  <c r="M1757" i="13" s="1"/>
  <c r="H1756" i="13"/>
  <c r="M1756" i="13" s="1"/>
  <c r="H1754" i="13"/>
  <c r="H1767" i="13"/>
  <c r="H1779" i="13"/>
  <c r="H1792" i="13"/>
  <c r="H1770" i="13"/>
  <c r="H1764" i="13"/>
  <c r="H1765" i="13"/>
  <c r="H1766" i="13"/>
  <c r="H1775" i="13"/>
  <c r="H1787" i="13"/>
  <c r="H1800" i="13"/>
  <c r="H1755" i="13"/>
  <c r="M1755" i="13" s="1"/>
  <c r="H1802" i="13"/>
  <c r="H1772" i="13"/>
  <c r="H1773" i="13"/>
  <c r="H1774" i="13"/>
  <c r="H1783" i="13"/>
  <c r="H1795" i="13"/>
  <c r="H1808" i="13"/>
  <c r="H1786" i="13"/>
  <c r="H1777" i="13"/>
  <c r="H1780" i="13"/>
  <c r="H1781" i="13"/>
  <c r="H1782" i="13"/>
  <c r="H1791" i="13"/>
  <c r="H1803" i="13"/>
  <c r="H1768" i="13"/>
  <c r="H1761" i="13"/>
  <c r="M1761" i="13" s="1"/>
  <c r="H1809" i="13"/>
  <c r="H1788" i="13"/>
  <c r="H1789" i="13"/>
  <c r="H1790" i="13"/>
  <c r="H1799" i="13"/>
  <c r="H1811" i="13"/>
  <c r="J1750" i="13"/>
  <c r="H1793" i="13"/>
  <c r="H1778" i="13"/>
  <c r="H1796" i="13"/>
  <c r="H1797" i="13"/>
  <c r="H1798" i="13"/>
  <c r="H1807" i="13"/>
  <c r="H1758" i="13"/>
  <c r="M1758" i="13" s="1"/>
  <c r="H1785" i="13"/>
  <c r="H1762" i="13"/>
  <c r="H1810" i="13"/>
  <c r="H1805" i="13"/>
  <c r="H1806" i="13"/>
  <c r="H1760" i="13"/>
  <c r="M1760" i="13" s="1"/>
  <c r="H1763" i="13"/>
  <c r="H1801" i="13"/>
  <c r="H1776" i="13"/>
  <c r="H1794" i="13"/>
  <c r="H1804" i="13"/>
  <c r="H1812" i="13"/>
  <c r="H1813" i="13"/>
  <c r="H1759" i="13"/>
  <c r="M1759" i="13" s="1"/>
  <c r="H1784" i="13"/>
  <c r="H1771" i="13"/>
  <c r="H1336" i="13"/>
  <c r="H1322" i="13"/>
  <c r="M1322" i="13" s="1"/>
  <c r="H1377" i="13"/>
  <c r="H1376" i="13"/>
  <c r="H1370" i="13"/>
  <c r="H1362" i="13"/>
  <c r="H1358" i="13"/>
  <c r="H1369" i="13"/>
  <c r="H1368" i="13"/>
  <c r="H1367" i="13"/>
  <c r="H1335" i="13"/>
  <c r="H1321" i="13"/>
  <c r="M1321" i="13" s="1"/>
  <c r="H1324" i="13"/>
  <c r="M1324" i="13" s="1"/>
  <c r="H1371" i="13"/>
  <c r="H1364" i="13"/>
  <c r="H1325" i="13"/>
  <c r="M1325" i="13" s="1"/>
  <c r="H1343" i="13"/>
  <c r="H1328" i="13"/>
  <c r="H1351" i="13"/>
  <c r="H1378" i="13"/>
  <c r="H1332" i="13"/>
  <c r="H1333" i="13"/>
  <c r="H1372" i="13"/>
  <c r="H1375" i="13"/>
  <c r="H1360" i="13"/>
  <c r="H1319" i="13"/>
  <c r="J1315" i="13"/>
  <c r="H1340" i="13"/>
  <c r="H1341" i="13"/>
  <c r="H1326" i="13"/>
  <c r="M1326" i="13" s="1"/>
  <c r="H1344" i="13"/>
  <c r="H1320" i="13"/>
  <c r="M1320" i="13" s="1"/>
  <c r="H1330" i="13"/>
  <c r="H1331" i="13"/>
  <c r="H1348" i="13"/>
  <c r="H1349" i="13"/>
  <c r="H1337" i="13"/>
  <c r="H1373" i="13"/>
  <c r="H1363" i="13"/>
  <c r="H1327" i="13"/>
  <c r="H1338" i="13"/>
  <c r="H1339" i="13"/>
  <c r="H1356" i="13"/>
  <c r="H1357" i="13"/>
  <c r="H1345" i="13"/>
  <c r="H1323" i="13"/>
  <c r="M1323" i="13" s="1"/>
  <c r="H1366" i="13"/>
  <c r="H1352" i="13"/>
  <c r="H1346" i="13"/>
  <c r="H1347" i="13"/>
  <c r="H1342" i="13"/>
  <c r="H1365" i="13"/>
  <c r="H1353" i="13"/>
  <c r="H1350" i="13"/>
  <c r="H1334" i="13"/>
  <c r="H1359" i="13"/>
  <c r="H1354" i="13"/>
  <c r="H1355" i="13"/>
  <c r="H1374" i="13"/>
  <c r="H1361" i="13"/>
  <c r="H1329" i="13"/>
  <c r="H1700" i="13"/>
  <c r="H1693" i="13"/>
  <c r="H1669" i="13"/>
  <c r="M1669" i="13" s="1"/>
  <c r="H1691" i="13"/>
  <c r="H1682" i="13"/>
  <c r="H1672" i="13"/>
  <c r="M1672" i="13" s="1"/>
  <c r="H1697" i="13"/>
  <c r="H1667" i="13"/>
  <c r="H1708" i="13"/>
  <c r="H1701" i="13"/>
  <c r="H1686" i="13"/>
  <c r="H1724" i="13"/>
  <c r="H1715" i="13"/>
  <c r="H1698" i="13"/>
  <c r="H1668" i="13"/>
  <c r="M1668" i="13" s="1"/>
  <c r="H1678" i="13"/>
  <c r="H1717" i="13"/>
  <c r="H1709" i="13"/>
  <c r="H1694" i="13"/>
  <c r="H1687" i="13"/>
  <c r="H1677" i="13"/>
  <c r="H1671" i="13"/>
  <c r="M1671" i="13" s="1"/>
  <c r="H1676" i="13"/>
  <c r="H1690" i="13"/>
  <c r="H1726" i="13"/>
  <c r="H1718" i="13"/>
  <c r="H1702" i="13"/>
  <c r="H1695" i="13"/>
  <c r="H1696" i="13"/>
  <c r="H1722" i="13"/>
  <c r="H1705" i="13"/>
  <c r="H1673" i="13"/>
  <c r="M1673" i="13" s="1"/>
  <c r="H1670" i="13"/>
  <c r="M1670" i="13" s="1"/>
  <c r="H1710" i="13"/>
  <c r="H1703" i="13"/>
  <c r="H1704" i="13"/>
  <c r="H1699" i="13"/>
  <c r="H1674" i="13"/>
  <c r="M1674" i="13" s="1"/>
  <c r="H1679" i="13"/>
  <c r="H1680" i="13"/>
  <c r="H1719" i="13"/>
  <c r="H1711" i="13"/>
  <c r="H1712" i="13"/>
  <c r="H1707" i="13"/>
  <c r="H1706" i="13"/>
  <c r="H1684" i="13"/>
  <c r="H1689" i="13"/>
  <c r="H1688" i="13"/>
  <c r="H1675" i="13"/>
  <c r="J1663" i="13"/>
  <c r="H1720" i="13"/>
  <c r="H1714" i="13"/>
  <c r="H1716" i="13"/>
  <c r="H1713" i="13"/>
  <c r="H1681" i="13"/>
  <c r="H1723" i="13"/>
  <c r="H1725" i="13"/>
  <c r="H1683" i="13"/>
  <c r="H1692" i="13"/>
  <c r="H1685" i="13"/>
  <c r="H1721" i="13"/>
  <c r="H1099" i="13"/>
  <c r="H1092" i="13"/>
  <c r="H1058" i="13"/>
  <c r="H1076" i="13"/>
  <c r="H1089" i="13"/>
  <c r="H1074" i="13"/>
  <c r="H1067" i="13"/>
  <c r="H1071" i="13"/>
  <c r="H1107" i="13"/>
  <c r="H1100" i="13"/>
  <c r="H1095" i="13"/>
  <c r="H1109" i="13"/>
  <c r="H1114" i="13"/>
  <c r="H1082" i="13"/>
  <c r="H1075" i="13"/>
  <c r="H1079" i="13"/>
  <c r="H1116" i="13"/>
  <c r="H1108" i="13"/>
  <c r="H1103" i="13"/>
  <c r="H1078" i="13"/>
  <c r="H1068" i="13"/>
  <c r="H1097" i="13"/>
  <c r="H1083" i="13"/>
  <c r="H1087" i="13"/>
  <c r="H1101" i="13"/>
  <c r="H1069" i="13"/>
  <c r="H1111" i="13"/>
  <c r="H1110" i="13"/>
  <c r="H1062" i="13"/>
  <c r="M1062" i="13" s="1"/>
  <c r="H1088" i="13"/>
  <c r="H1090" i="13"/>
  <c r="H1084" i="13"/>
  <c r="H1070" i="13"/>
  <c r="H1117" i="13"/>
  <c r="H1085" i="13"/>
  <c r="J1054" i="13"/>
  <c r="H1094" i="13"/>
  <c r="H1096" i="13"/>
  <c r="H1098" i="13"/>
  <c r="H1102" i="13"/>
  <c r="H1086" i="13"/>
  <c r="H1064" i="13"/>
  <c r="M1064" i="13" s="1"/>
  <c r="H1065" i="13"/>
  <c r="M1065" i="13" s="1"/>
  <c r="H1112" i="13"/>
  <c r="H1104" i="13"/>
  <c r="H1106" i="13"/>
  <c r="H1077" i="13"/>
  <c r="H1060" i="13"/>
  <c r="M1060" i="13" s="1"/>
  <c r="H1072" i="13"/>
  <c r="H1073" i="13"/>
  <c r="H1061" i="13"/>
  <c r="M1061" i="13" s="1"/>
  <c r="H1113" i="13"/>
  <c r="H1115" i="13"/>
  <c r="H1091" i="13"/>
  <c r="H1105" i="13"/>
  <c r="H1093" i="13"/>
  <c r="H1080" i="13"/>
  <c r="H1081" i="13"/>
  <c r="H1063" i="13"/>
  <c r="M1063" i="13" s="1"/>
  <c r="H1066" i="13"/>
  <c r="M1066" i="13" s="1"/>
  <c r="H1059" i="13"/>
  <c r="M1059" i="13" s="1"/>
  <c r="H632" i="13"/>
  <c r="H633" i="13"/>
  <c r="H665" i="13"/>
  <c r="H658" i="13"/>
  <c r="H674" i="13"/>
  <c r="H653" i="13"/>
  <c r="H669" i="13"/>
  <c r="H640" i="13"/>
  <c r="H641" i="13"/>
  <c r="H673" i="13"/>
  <c r="H681" i="13"/>
  <c r="H652" i="13"/>
  <c r="H662" i="13"/>
  <c r="H677" i="13"/>
  <c r="H645" i="13"/>
  <c r="H646" i="13"/>
  <c r="H647" i="13"/>
  <c r="H648" i="13"/>
  <c r="H682" i="13"/>
  <c r="H660" i="13"/>
  <c r="H670" i="13"/>
  <c r="H625" i="13"/>
  <c r="M625" i="13" s="1"/>
  <c r="H654" i="13"/>
  <c r="H655" i="13"/>
  <c r="H656" i="13"/>
  <c r="H667" i="13"/>
  <c r="H623" i="13"/>
  <c r="H668" i="13"/>
  <c r="H678" i="13"/>
  <c r="H666" i="13"/>
  <c r="H663" i="13"/>
  <c r="H664" i="13"/>
  <c r="H675" i="13"/>
  <c r="H626" i="13"/>
  <c r="M626" i="13" s="1"/>
  <c r="H635" i="13"/>
  <c r="H676" i="13"/>
  <c r="J619" i="13"/>
  <c r="H630" i="13"/>
  <c r="M630" i="13" s="1"/>
  <c r="H671" i="13"/>
  <c r="H672" i="13"/>
  <c r="H649" i="13"/>
  <c r="H634" i="13"/>
  <c r="H643" i="13"/>
  <c r="H629" i="13"/>
  <c r="M629" i="13" s="1"/>
  <c r="H631" i="13"/>
  <c r="H638" i="13"/>
  <c r="H679" i="13"/>
  <c r="H680" i="13"/>
  <c r="H657" i="13"/>
  <c r="H642" i="13"/>
  <c r="H651" i="13"/>
  <c r="H637" i="13"/>
  <c r="H639" i="13"/>
  <c r="H644" i="13"/>
  <c r="H659" i="13"/>
  <c r="H650" i="13"/>
  <c r="H628" i="13"/>
  <c r="M628" i="13" s="1"/>
  <c r="H636" i="13"/>
  <c r="H624" i="13"/>
  <c r="M624" i="13" s="1"/>
  <c r="H661" i="13"/>
  <c r="H627" i="13"/>
  <c r="M627" i="13" s="1"/>
  <c r="H1543" i="13"/>
  <c r="H1544" i="13"/>
  <c r="H1545" i="13"/>
  <c r="H1548" i="13"/>
  <c r="H1539" i="13"/>
  <c r="H1496" i="13"/>
  <c r="H1546" i="13"/>
  <c r="H1549" i="13"/>
  <c r="H1550" i="13"/>
  <c r="H1551" i="13"/>
  <c r="H1552" i="13"/>
  <c r="H1493" i="13"/>
  <c r="H1498" i="13"/>
  <c r="H1501" i="13"/>
  <c r="H1515" i="13"/>
  <c r="H1494" i="13"/>
  <c r="H1495" i="13"/>
  <c r="H1497" i="13"/>
  <c r="J1489" i="13"/>
  <c r="H1500" i="13"/>
  <c r="H1530" i="13"/>
  <c r="H1509" i="13"/>
  <c r="H1547" i="13"/>
  <c r="H1502" i="13"/>
  <c r="H1503" i="13"/>
  <c r="H1504" i="13"/>
  <c r="H1505" i="13"/>
  <c r="H1508" i="13"/>
  <c r="H1499" i="13"/>
  <c r="H1517" i="13"/>
  <c r="H1522" i="13"/>
  <c r="H1510" i="13"/>
  <c r="H1511" i="13"/>
  <c r="H1512" i="13"/>
  <c r="H1513" i="13"/>
  <c r="H1516" i="13"/>
  <c r="H1531" i="13"/>
  <c r="H1525" i="13"/>
  <c r="H1523" i="13"/>
  <c r="H1518" i="13"/>
  <c r="H1519" i="13"/>
  <c r="H1520" i="13"/>
  <c r="H1521" i="13"/>
  <c r="H1524" i="13"/>
  <c r="H1506" i="13"/>
  <c r="H1533" i="13"/>
  <c r="H1541" i="13"/>
  <c r="H1526" i="13"/>
  <c r="H1527" i="13"/>
  <c r="H1528" i="13"/>
  <c r="H1529" i="13"/>
  <c r="H1532" i="13"/>
  <c r="H1538" i="13"/>
  <c r="H1542" i="13"/>
  <c r="H1507" i="13"/>
  <c r="H1514" i="13"/>
  <c r="H1534" i="13"/>
  <c r="H1535" i="13"/>
  <c r="H1540" i="13"/>
  <c r="H1536" i="13"/>
  <c r="H1537" i="13"/>
  <c r="H1189" i="13"/>
  <c r="H1177" i="13"/>
  <c r="H1147" i="13"/>
  <c r="M1147" i="13" s="1"/>
  <c r="H1194" i="13"/>
  <c r="H1161" i="13"/>
  <c r="H1199" i="13"/>
  <c r="H1155" i="13"/>
  <c r="H1173" i="13"/>
  <c r="H1197" i="13"/>
  <c r="H1185" i="13"/>
  <c r="J1141" i="13"/>
  <c r="H1198" i="13"/>
  <c r="H1169" i="13"/>
  <c r="H1149" i="13"/>
  <c r="M1149" i="13" s="1"/>
  <c r="H1163" i="13"/>
  <c r="H1166" i="13"/>
  <c r="H1193" i="13"/>
  <c r="H1158" i="13"/>
  <c r="H1152" i="13"/>
  <c r="M1152" i="13" s="1"/>
  <c r="H1178" i="13"/>
  <c r="H1154" i="13"/>
  <c r="H1171" i="13"/>
  <c r="H1174" i="13"/>
  <c r="H1179" i="13"/>
  <c r="H1191" i="13"/>
  <c r="H1160" i="13"/>
  <c r="H1201" i="13"/>
  <c r="H1162" i="13"/>
  <c r="H1183" i="13"/>
  <c r="H1180" i="13"/>
  <c r="H1182" i="13"/>
  <c r="H1187" i="13"/>
  <c r="H1204" i="13"/>
  <c r="H1168" i="13"/>
  <c r="H1148" i="13"/>
  <c r="M1148" i="13" s="1"/>
  <c r="H1170" i="13"/>
  <c r="H1202" i="13"/>
  <c r="H1188" i="13"/>
  <c r="H1176" i="13"/>
  <c r="H1195" i="13"/>
  <c r="H1151" i="13"/>
  <c r="M1151" i="13" s="1"/>
  <c r="H1190" i="13"/>
  <c r="H1156" i="13"/>
  <c r="H1175" i="13"/>
  <c r="H1146" i="13"/>
  <c r="M1146" i="13" s="1"/>
  <c r="H1196" i="13"/>
  <c r="H1184" i="13"/>
  <c r="H1186" i="13"/>
  <c r="H1159" i="13"/>
  <c r="H1150" i="13"/>
  <c r="M1150" i="13" s="1"/>
  <c r="H1164" i="13"/>
  <c r="H1200" i="13"/>
  <c r="H1157" i="13"/>
  <c r="H1181" i="13"/>
  <c r="H1192" i="13"/>
  <c r="H1203" i="13"/>
  <c r="H1167" i="13"/>
  <c r="H1165" i="13"/>
  <c r="H1153" i="13"/>
  <c r="M1153" i="13" s="1"/>
  <c r="H1172" i="13"/>
  <c r="H1145" i="13"/>
  <c r="G1381" i="20"/>
  <c r="G834" i="20"/>
  <c r="G295" i="20"/>
  <c r="G1373" i="20"/>
  <c r="G1555" i="20"/>
  <c r="G2026" i="20"/>
  <c r="G953" i="20"/>
  <c r="G132" i="20"/>
  <c r="G931" i="20"/>
  <c r="G1380" i="20"/>
  <c r="G478" i="20"/>
  <c r="G1558" i="20"/>
  <c r="G1465" i="20"/>
  <c r="G1287" i="20"/>
  <c r="G1397" i="20"/>
  <c r="G1104" i="20"/>
  <c r="G476" i="20"/>
  <c r="G831" i="20"/>
  <c r="G559" i="20"/>
  <c r="G1918" i="20"/>
  <c r="G385" i="20"/>
  <c r="G1648" i="20"/>
  <c r="G1835" i="20"/>
  <c r="G1149" i="20"/>
  <c r="G1143" i="20"/>
  <c r="G1194" i="20"/>
  <c r="G1631" i="20"/>
  <c r="G213" i="20"/>
  <c r="G1196" i="20"/>
  <c r="G732" i="20"/>
  <c r="G1112" i="20"/>
  <c r="G2001" i="20"/>
  <c r="G588" i="20"/>
  <c r="G678" i="20"/>
  <c r="G1188" i="20"/>
  <c r="G825" i="20"/>
  <c r="G1200" i="20"/>
  <c r="G1006" i="20"/>
  <c r="G1545" i="20"/>
  <c r="G1370" i="20"/>
  <c r="G416" i="20"/>
  <c r="G579" i="20"/>
  <c r="G1469" i="20"/>
  <c r="G1546" i="20"/>
  <c r="G1723" i="20"/>
  <c r="G1636" i="20"/>
  <c r="G467" i="20"/>
  <c r="G1092" i="20"/>
  <c r="G137" i="20"/>
  <c r="G672" i="20"/>
  <c r="G1289" i="20"/>
  <c r="G1643" i="20"/>
  <c r="G1468" i="20"/>
  <c r="G740" i="20"/>
  <c r="N718" i="20" s="1"/>
  <c r="G1995" i="20"/>
  <c r="G195" i="20"/>
  <c r="G376" i="20"/>
  <c r="G200" i="20"/>
  <c r="G666" i="20"/>
  <c r="G1059" i="20"/>
  <c r="G1682" i="20"/>
  <c r="G1113" i="20"/>
  <c r="G383" i="20"/>
  <c r="G1184" i="20"/>
  <c r="G293" i="20"/>
  <c r="G1282" i="20"/>
  <c r="G384" i="20"/>
  <c r="G946" i="20"/>
  <c r="G845" i="20"/>
  <c r="G2044" i="20"/>
  <c r="G1563" i="20"/>
  <c r="G1913" i="20"/>
  <c r="G930" i="20"/>
  <c r="G1734" i="20"/>
  <c r="G568" i="20"/>
  <c r="G1476" i="20"/>
  <c r="G936" i="20"/>
  <c r="G680" i="20"/>
  <c r="G1634" i="20"/>
  <c r="G299" i="20"/>
  <c r="G657" i="20"/>
  <c r="G932" i="20"/>
  <c r="G1020" i="20"/>
  <c r="G656" i="20"/>
  <c r="G1290" i="20"/>
  <c r="G686" i="20"/>
  <c r="G671" i="20"/>
  <c r="G1903" i="20"/>
  <c r="G1001" i="20"/>
  <c r="G2009" i="20"/>
  <c r="G198" i="20"/>
  <c r="G481" i="20"/>
  <c r="G1219" i="20"/>
  <c r="G1394" i="20"/>
  <c r="G948" i="20"/>
  <c r="G1909" i="20"/>
  <c r="G291" i="20"/>
  <c r="N268" i="20" s="1"/>
  <c r="G392" i="20"/>
  <c r="G1095" i="20"/>
  <c r="G1183" i="20"/>
  <c r="G1941" i="20"/>
  <c r="G768" i="20"/>
  <c r="G1386" i="20"/>
  <c r="G1675" i="20"/>
  <c r="G380" i="20"/>
  <c r="G196" i="20"/>
  <c r="G920" i="20"/>
  <c r="N898" i="20" s="1"/>
  <c r="G737" i="20"/>
  <c r="G1816" i="20"/>
  <c r="G760" i="20"/>
  <c r="G1122" i="20"/>
  <c r="G247" i="20"/>
  <c r="G1220" i="20"/>
  <c r="G1190" i="20"/>
  <c r="N1168" i="20" s="1"/>
  <c r="G651" i="20"/>
  <c r="G191" i="20"/>
  <c r="G1731" i="20"/>
  <c r="G1181" i="20"/>
  <c r="G1391" i="20"/>
  <c r="G1288" i="20"/>
  <c r="G391" i="20"/>
  <c r="G419" i="20"/>
  <c r="G296" i="20"/>
  <c r="G745" i="20"/>
  <c r="G1372" i="20"/>
  <c r="G1733" i="20"/>
  <c r="G2002" i="20"/>
  <c r="G765" i="20"/>
  <c r="G122" i="20"/>
  <c r="G846" i="20"/>
  <c r="G1740" i="20"/>
  <c r="G1111" i="20"/>
  <c r="G113" i="20"/>
  <c r="G1560" i="20"/>
  <c r="G206" i="20"/>
  <c r="G493" i="20"/>
  <c r="G1689" i="20"/>
  <c r="G2033" i="20"/>
  <c r="G1035" i="20"/>
  <c r="G1724" i="20"/>
  <c r="G1827" i="20"/>
  <c r="G1019" i="20"/>
  <c r="G2007" i="20"/>
  <c r="G1017" i="20"/>
  <c r="G1044" i="20"/>
  <c r="G1222" i="20"/>
  <c r="G1494" i="20"/>
  <c r="G491" i="20"/>
  <c r="G1639" i="20"/>
  <c r="N1618" i="20" s="1"/>
  <c r="G1459" i="20"/>
  <c r="N1438" i="20" s="1"/>
  <c r="G570" i="20"/>
  <c r="G569" i="20"/>
  <c r="G552" i="20"/>
  <c r="G1497" i="20"/>
  <c r="G471" i="20"/>
  <c r="N448" i="20" s="1"/>
  <c r="G1025" i="20"/>
  <c r="G926" i="20"/>
  <c r="G461" i="20"/>
  <c r="G1278" i="20"/>
  <c r="N1258" i="20" s="1"/>
  <c r="G1742" i="20"/>
  <c r="G560" i="20"/>
  <c r="G582" i="20"/>
  <c r="G1390" i="20"/>
  <c r="G879" i="20"/>
  <c r="G372" i="20"/>
  <c r="G1013" i="20"/>
  <c r="G551" i="20"/>
  <c r="G199" i="20"/>
  <c r="G1549" i="20"/>
  <c r="G1999" i="20"/>
  <c r="G286" i="20"/>
  <c r="G1385" i="20"/>
  <c r="G1683" i="20"/>
  <c r="G1498" i="20"/>
  <c r="G1556" i="20"/>
  <c r="G743" i="20"/>
  <c r="G1635" i="20"/>
  <c r="G642" i="20"/>
  <c r="G925" i="20"/>
  <c r="G1652" i="20"/>
  <c r="G1589" i="20"/>
  <c r="G374" i="20"/>
  <c r="G203" i="20"/>
  <c r="N178" i="20" s="1"/>
  <c r="G115" i="20"/>
  <c r="G297" i="20"/>
  <c r="G381" i="20"/>
  <c r="N358" i="20" s="1"/>
  <c r="G111" i="20"/>
  <c r="G1374" i="20"/>
  <c r="G310" i="20"/>
  <c r="G911" i="20"/>
  <c r="G1010" i="20"/>
  <c r="G1650" i="20"/>
  <c r="G2012" i="20"/>
  <c r="G1192" i="20"/>
  <c r="G204" i="20"/>
  <c r="G207" i="20"/>
  <c r="G1927" i="20"/>
  <c r="G1955" i="20"/>
  <c r="G1049" i="20"/>
  <c r="G1907" i="20"/>
  <c r="N1888" i="20" s="1"/>
  <c r="G292" i="20"/>
  <c r="G935" i="20"/>
  <c r="G565" i="20"/>
  <c r="G934" i="20"/>
  <c r="G1738" i="20"/>
  <c r="G1811" i="20"/>
  <c r="G1486" i="20"/>
  <c r="G2024" i="20"/>
  <c r="G1362" i="20"/>
  <c r="G371" i="20"/>
  <c r="G1110" i="20"/>
  <c r="G1004" i="20"/>
  <c r="G480" i="20"/>
  <c r="G1277" i="20"/>
  <c r="G1129" i="20"/>
  <c r="G576" i="20"/>
  <c r="G202" i="20"/>
  <c r="G284" i="20"/>
  <c r="G1460" i="20"/>
  <c r="G1993" i="20"/>
  <c r="G1368" i="20"/>
  <c r="G1814" i="20"/>
  <c r="G847" i="20"/>
  <c r="G487" i="20"/>
  <c r="G2043" i="20"/>
  <c r="G954" i="20"/>
  <c r="G1992" i="20"/>
  <c r="G1729" i="20"/>
  <c r="N1708" i="20" s="1"/>
  <c r="G924" i="20"/>
  <c r="G1819" i="20"/>
  <c r="N1798" i="20" s="1"/>
  <c r="G1548" i="20"/>
  <c r="G2014" i="20"/>
  <c r="G1543" i="20"/>
  <c r="G687" i="20"/>
  <c r="G1312" i="20"/>
  <c r="G473" i="20"/>
  <c r="G1005" i="20"/>
  <c r="G915" i="20"/>
  <c r="G1458" i="20"/>
  <c r="G112" i="20"/>
  <c r="N88" i="20" s="1"/>
  <c r="G878" i="20"/>
  <c r="G641" i="20"/>
  <c r="G227" i="20"/>
  <c r="G652" i="20"/>
  <c r="G116" i="20"/>
  <c r="G1815" i="20"/>
  <c r="G1732" i="20"/>
  <c r="G927" i="20"/>
  <c r="G1824" i="20"/>
  <c r="G742" i="20"/>
  <c r="G1103" i="20"/>
  <c r="G1762" i="20"/>
  <c r="G1924" i="20"/>
  <c r="G1286" i="20"/>
  <c r="G1644" i="20"/>
  <c r="G205" i="20"/>
  <c r="G1647" i="20"/>
  <c r="G1093" i="20"/>
  <c r="G1142" i="20"/>
  <c r="G958" i="20"/>
  <c r="G1752" i="20"/>
  <c r="G1199" i="20"/>
  <c r="G119" i="20"/>
  <c r="G1467" i="20"/>
  <c r="G1382" i="20"/>
  <c r="G1921" i="20"/>
  <c r="G1668" i="20"/>
  <c r="G1575" i="20"/>
  <c r="G1302" i="20"/>
  <c r="G1727" i="20"/>
  <c r="G1363" i="20"/>
  <c r="G389" i="20"/>
  <c r="G1743" i="20"/>
  <c r="G1565" i="20"/>
  <c r="G1487" i="20"/>
  <c r="G668" i="20"/>
  <c r="G1107" i="20"/>
  <c r="G1492" i="20"/>
  <c r="G647" i="20"/>
  <c r="G1007" i="20"/>
  <c r="G1905" i="20"/>
  <c r="G734" i="20"/>
  <c r="G285" i="20"/>
  <c r="G1283" i="20"/>
  <c r="G2004" i="20"/>
  <c r="G240" i="20"/>
  <c r="G590" i="20"/>
  <c r="G643" i="20"/>
  <c r="G1637" i="20"/>
  <c r="G1003" i="20"/>
  <c r="G556" i="20"/>
  <c r="G1098" i="20"/>
  <c r="G923" i="20"/>
  <c r="G2027" i="20"/>
  <c r="G499" i="20"/>
  <c r="G1285" i="20"/>
  <c r="G1105" i="20"/>
  <c r="G1186" i="20"/>
  <c r="G1281" i="20"/>
  <c r="G731" i="20"/>
  <c r="G1656" i="20"/>
  <c r="G786" i="20"/>
  <c r="G860" i="20"/>
  <c r="G401" i="20"/>
  <c r="G377" i="20"/>
  <c r="G208" i="20"/>
  <c r="G1825" i="20"/>
  <c r="G827" i="20"/>
  <c r="G1915" i="20"/>
  <c r="G562" i="20"/>
  <c r="G219" i="20"/>
  <c r="G428" i="20"/>
  <c r="G864" i="20"/>
  <c r="G1481" i="20"/>
  <c r="G1994" i="20"/>
  <c r="N1977" i="20" s="1"/>
  <c r="G1016" i="20"/>
  <c r="G1108" i="20"/>
  <c r="G1106" i="20"/>
  <c r="G474" i="20"/>
  <c r="G141" i="20"/>
  <c r="G1042" i="20"/>
  <c r="G1666" i="20"/>
  <c r="G123" i="20"/>
  <c r="G571" i="20"/>
  <c r="G1114" i="20"/>
  <c r="G117" i="20"/>
  <c r="G838" i="20"/>
  <c r="G1197" i="20"/>
  <c r="G955" i="20"/>
  <c r="G1280" i="20"/>
  <c r="G844" i="20"/>
  <c r="G830" i="20"/>
  <c r="N808" i="20" s="1"/>
  <c r="G833" i="20"/>
  <c r="G1198" i="20"/>
  <c r="G841" i="20"/>
  <c r="G1553" i="20"/>
  <c r="G1029" i="20"/>
  <c r="G1830" i="20"/>
  <c r="G426" i="20"/>
  <c r="G1472" i="20"/>
  <c r="G379" i="20"/>
  <c r="G1813" i="20"/>
  <c r="G1291" i="20"/>
  <c r="G826" i="20"/>
  <c r="G1275" i="20"/>
  <c r="G658" i="20"/>
  <c r="G1043" i="20"/>
  <c r="G1590" i="20"/>
  <c r="G1580" i="20"/>
  <c r="G1550" i="20"/>
  <c r="G1908" i="20"/>
  <c r="G1451" i="20"/>
  <c r="G287" i="20"/>
  <c r="G914" i="20"/>
  <c r="G1773" i="20"/>
  <c r="G1377" i="20"/>
  <c r="G1393" i="20"/>
  <c r="G1916" i="20"/>
  <c r="G1917" i="20"/>
  <c r="G738" i="20"/>
  <c r="G1455" i="20"/>
  <c r="G1990" i="20"/>
  <c r="G744" i="20"/>
  <c r="G150" i="20"/>
  <c r="G142" i="20"/>
  <c r="G1364" i="20"/>
  <c r="G824" i="20"/>
  <c r="G209" i="20"/>
  <c r="G118" i="20"/>
  <c r="G1011" i="20"/>
  <c r="G1101" i="20"/>
  <c r="G1914" i="20"/>
  <c r="G843" i="20"/>
  <c r="G153" i="20"/>
  <c r="G326" i="20"/>
  <c r="G913" i="20"/>
  <c r="G1991" i="20"/>
  <c r="G386" i="20"/>
  <c r="G1822" i="20"/>
  <c r="G1559" i="20"/>
  <c r="G654" i="20"/>
  <c r="G752" i="20"/>
  <c r="G1663" i="20"/>
  <c r="G1028" i="20"/>
  <c r="G470" i="20"/>
  <c r="G1021" i="20"/>
  <c r="G1193" i="20"/>
  <c r="G1920" i="20"/>
  <c r="G1737" i="20"/>
  <c r="G659" i="20"/>
  <c r="G670" i="20"/>
  <c r="G1295" i="20"/>
  <c r="G1187" i="20"/>
  <c r="G823" i="20"/>
  <c r="G842" i="20"/>
  <c r="G211" i="20"/>
  <c r="G2010" i="20"/>
  <c r="G1544" i="20"/>
  <c r="G1568" i="20"/>
  <c r="G574" i="20"/>
  <c r="G241" i="20"/>
  <c r="G1127" i="20"/>
  <c r="G1638" i="20"/>
  <c r="G1551" i="20"/>
  <c r="G482" i="20"/>
  <c r="G739" i="20"/>
  <c r="G105" i="20"/>
  <c r="G681" i="20"/>
  <c r="G767" i="20"/>
  <c r="G2025" i="20"/>
  <c r="G193" i="20"/>
  <c r="G1726" i="20"/>
  <c r="G290" i="20"/>
  <c r="G102" i="20"/>
  <c r="G735" i="20"/>
  <c r="G1562" i="20"/>
  <c r="G869" i="20"/>
  <c r="G1482" i="20"/>
  <c r="G573" i="20"/>
  <c r="G1735" i="20"/>
  <c r="G1998" i="20"/>
  <c r="G107" i="20"/>
  <c r="G465" i="20"/>
  <c r="G1821" i="20"/>
  <c r="G414" i="20"/>
  <c r="G1851" i="20"/>
  <c r="G494" i="20"/>
  <c r="G755" i="20"/>
  <c r="G109" i="20"/>
  <c r="G2008" i="20"/>
  <c r="G928" i="20"/>
  <c r="G1641" i="20"/>
  <c r="G1462" i="20"/>
  <c r="G475" i="20"/>
  <c r="G821" i="20"/>
  <c r="G870" i="20"/>
  <c r="G321" i="20"/>
  <c r="G2017" i="20"/>
  <c r="G1919" i="20"/>
  <c r="G566" i="20"/>
  <c r="G563" i="20"/>
  <c r="G1826" i="20"/>
  <c r="G1466" i="20"/>
  <c r="G225" i="20"/>
  <c r="G1119" i="20"/>
  <c r="G849" i="20"/>
  <c r="G288" i="20"/>
  <c r="G1996" i="20"/>
  <c r="G2005" i="20"/>
  <c r="G1828" i="20"/>
  <c r="G748" i="20"/>
  <c r="G1582" i="20"/>
  <c r="G215" i="20"/>
  <c r="G912" i="20"/>
  <c r="G1039" i="20"/>
  <c r="G1552" i="20"/>
  <c r="G1384" i="20"/>
  <c r="G1115" i="20"/>
  <c r="G1741" i="20"/>
  <c r="G390" i="20"/>
  <c r="G468" i="20"/>
  <c r="G1273" i="20"/>
  <c r="G960" i="20"/>
  <c r="G1399" i="20"/>
  <c r="G1632" i="20"/>
  <c r="G1557" i="20"/>
  <c r="G1271" i="20"/>
  <c r="G121" i="20"/>
  <c r="G558" i="20"/>
  <c r="G149" i="20"/>
  <c r="G1542" i="20"/>
  <c r="G850" i="20"/>
  <c r="G282" i="20"/>
  <c r="G922" i="20"/>
  <c r="G1091" i="20"/>
  <c r="G918" i="20"/>
  <c r="G1910" i="20"/>
  <c r="G1495" i="20"/>
  <c r="G1133" i="20"/>
  <c r="G1837" i="20"/>
  <c r="G557" i="20"/>
  <c r="G298" i="20"/>
  <c r="G101" i="20"/>
  <c r="G1640" i="20"/>
  <c r="G828" i="20"/>
  <c r="G1722" i="20"/>
  <c r="G1034" i="20"/>
  <c r="G1308" i="20"/>
  <c r="G1297" i="20"/>
  <c r="G553" i="20"/>
  <c r="G1002" i="20"/>
  <c r="G1823" i="20"/>
  <c r="G477" i="20"/>
  <c r="G1751" i="20"/>
  <c r="G700" i="20"/>
  <c r="G1855" i="20"/>
  <c r="G1456" i="20"/>
  <c r="G1657" i="20"/>
  <c r="G1510" i="20"/>
  <c r="G1950" i="20"/>
  <c r="G306" i="20"/>
  <c r="G1228" i="20"/>
  <c r="G1541" i="20"/>
  <c r="G1852" i="20"/>
  <c r="G667" i="20"/>
  <c r="G655" i="20"/>
  <c r="G1845" i="20"/>
  <c r="G319" i="20"/>
  <c r="G609" i="20"/>
  <c r="G1820" i="20"/>
  <c r="G330" i="20"/>
  <c r="G762" i="20"/>
  <c r="G1014" i="20"/>
  <c r="G106" i="20"/>
  <c r="G1371" i="20"/>
  <c r="G135" i="20"/>
  <c r="G947" i="20"/>
  <c r="G1686" i="20"/>
  <c r="G1470" i="20"/>
  <c r="G223" i="20"/>
  <c r="G1749" i="20"/>
  <c r="G1957" i="20"/>
  <c r="G226" i="20"/>
  <c r="G1097" i="20"/>
  <c r="G1660" i="20"/>
  <c r="G1296" i="20"/>
  <c r="G690" i="20"/>
  <c r="G741" i="20"/>
  <c r="G1572" i="20"/>
  <c r="G1687" i="20"/>
  <c r="G873" i="20"/>
  <c r="G1404" i="20"/>
  <c r="G829" i="20"/>
  <c r="G1406" i="20"/>
  <c r="G228" i="20"/>
  <c r="G1739" i="20"/>
  <c r="G861" i="20"/>
  <c r="G675" i="20"/>
  <c r="G130" i="20"/>
  <c r="G114" i="20"/>
  <c r="G1128" i="20"/>
  <c r="G1670" i="20"/>
  <c r="G517" i="20"/>
  <c r="G1099" i="20"/>
  <c r="G1651" i="20"/>
  <c r="G1387" i="20"/>
  <c r="G592" i="20"/>
  <c r="G1137" i="20"/>
  <c r="G490" i="20"/>
  <c r="G1018" i="20"/>
  <c r="G1848" i="20"/>
  <c r="G504" i="20"/>
  <c r="G788" i="20"/>
  <c r="G646" i="20"/>
  <c r="G409" i="20"/>
  <c r="G387" i="20"/>
  <c r="G1216" i="20"/>
  <c r="G586" i="20"/>
  <c r="G1206" i="20"/>
  <c r="G197" i="20"/>
  <c r="G1038" i="20"/>
  <c r="G1945" i="20"/>
  <c r="G1414" i="20"/>
  <c r="G224" i="20"/>
  <c r="G1505" i="20"/>
  <c r="G402" i="20"/>
  <c r="G969" i="20"/>
  <c r="G1475" i="20"/>
  <c r="G516" i="20"/>
  <c r="G585" i="20"/>
  <c r="G337" i="20"/>
  <c r="G1642" i="20"/>
  <c r="G1060" i="20"/>
  <c r="G780" i="20"/>
  <c r="G2011" i="20"/>
  <c r="G956" i="20"/>
  <c r="G775" i="20"/>
  <c r="G1596" i="20"/>
  <c r="G1212" i="20"/>
  <c r="G1829" i="20"/>
  <c r="G1646" i="20"/>
  <c r="G1768" i="20"/>
  <c r="G311" i="20"/>
  <c r="G1378" i="20"/>
  <c r="G693" i="20"/>
  <c r="G1654" i="20"/>
  <c r="G696" i="20"/>
  <c r="G761" i="20"/>
  <c r="G644" i="20"/>
  <c r="G1579" i="20"/>
  <c r="G835" i="20"/>
  <c r="G1315" i="20"/>
  <c r="G220" i="20"/>
  <c r="G1300" i="20"/>
  <c r="G1420" i="20"/>
  <c r="G589" i="20"/>
  <c r="G1383" i="20"/>
  <c r="G303" i="20"/>
  <c r="G1182" i="20"/>
  <c r="G158" i="20"/>
  <c r="G229" i="20"/>
  <c r="G942" i="20"/>
  <c r="G1833" i="20"/>
  <c r="G242" i="20"/>
  <c r="G856" i="20"/>
  <c r="G485" i="20"/>
  <c r="G661" i="20"/>
  <c r="G430" i="20"/>
  <c r="G1301" i="20"/>
  <c r="G395" i="20"/>
  <c r="G1203" i="20"/>
  <c r="G1925" i="20"/>
  <c r="G420" i="20"/>
  <c r="G580" i="20"/>
  <c r="G837" i="20"/>
  <c r="G1379" i="20"/>
  <c r="G327" i="20"/>
  <c r="G1581" i="20"/>
  <c r="G398" i="20"/>
  <c r="G1484" i="20"/>
  <c r="G312" i="20"/>
  <c r="G1860" i="20"/>
  <c r="G749" i="20"/>
  <c r="G1208" i="20"/>
  <c r="G836" i="20"/>
  <c r="G691" i="20"/>
  <c r="G1954" i="20"/>
  <c r="G1329" i="20"/>
  <c r="G595" i="20"/>
  <c r="G1730" i="20"/>
  <c r="G764" i="20"/>
  <c r="G1279" i="20"/>
  <c r="G857" i="20"/>
  <c r="G1935" i="20"/>
  <c r="G1471" i="20"/>
  <c r="G1407" i="20"/>
  <c r="G1841" i="20"/>
  <c r="G500" i="20"/>
  <c r="G313" i="20"/>
  <c r="G1094" i="20"/>
  <c r="G851" i="20"/>
  <c r="G1508" i="20"/>
  <c r="G840" i="20"/>
  <c r="G1478" i="20"/>
  <c r="G1869" i="20"/>
  <c r="G510" i="20"/>
  <c r="G929" i="20"/>
  <c r="G2028" i="20"/>
  <c r="G789" i="20"/>
  <c r="G1922" i="20"/>
  <c r="G1410" i="20"/>
  <c r="G1109" i="20"/>
  <c r="G1681" i="20"/>
  <c r="G604" i="20"/>
  <c r="G1226" i="20"/>
  <c r="G1496" i="20"/>
  <c r="G1953" i="20"/>
  <c r="G243" i="20"/>
  <c r="G331" i="20"/>
  <c r="G157" i="20"/>
  <c r="G695" i="20"/>
  <c r="G1217" i="20"/>
  <c r="G685" i="20"/>
  <c r="G852" i="20"/>
  <c r="G1812" i="20"/>
  <c r="G1849" i="20"/>
  <c r="G230" i="20"/>
  <c r="G210" i="20"/>
  <c r="G144" i="20"/>
  <c r="G1415" i="20"/>
  <c r="G1294" i="20"/>
  <c r="G1054" i="20"/>
  <c r="G757" i="20"/>
  <c r="G1040" i="20"/>
  <c r="G307" i="20"/>
  <c r="G694" i="20"/>
  <c r="G1499" i="20"/>
  <c r="G1100" i="20"/>
  <c r="N1078" i="20" s="1"/>
  <c r="G301" i="20"/>
  <c r="G784" i="20"/>
  <c r="G1767" i="20"/>
  <c r="G235" i="20"/>
  <c r="G1330" i="20"/>
  <c r="G554" i="20"/>
  <c r="G1775" i="20"/>
  <c r="G143" i="20"/>
  <c r="G1736" i="20"/>
  <c r="G1911" i="20"/>
  <c r="G1854" i="20"/>
  <c r="G1305" i="20"/>
  <c r="G1012" i="20"/>
  <c r="G1779" i="20"/>
  <c r="G866" i="20"/>
  <c r="G1117" i="20"/>
  <c r="G1778" i="20"/>
  <c r="G192" i="20"/>
  <c r="G1457" i="20"/>
  <c r="G1317" i="20"/>
  <c r="G1120" i="20"/>
  <c r="G2031" i="20"/>
  <c r="G591" i="20"/>
  <c r="G1314" i="20"/>
  <c r="G1477" i="20"/>
  <c r="G650" i="20"/>
  <c r="G1929" i="20"/>
  <c r="G2015" i="20"/>
  <c r="G1857" i="20"/>
  <c r="G950" i="20"/>
  <c r="G393" i="20"/>
  <c r="G662" i="20"/>
  <c r="G2038" i="20"/>
  <c r="G231" i="20"/>
  <c r="G495" i="20"/>
  <c r="G501" i="20"/>
  <c r="G1721" i="20"/>
  <c r="G1473" i="20"/>
  <c r="G1951" i="20"/>
  <c r="G2000" i="20"/>
  <c r="G127" i="20"/>
  <c r="G2046" i="20"/>
  <c r="G1138" i="20"/>
  <c r="G648" i="20"/>
  <c r="G1032" i="20"/>
  <c r="G335" i="20"/>
  <c r="G1461" i="20"/>
  <c r="G1570" i="20"/>
  <c r="G2040" i="20"/>
  <c r="G1306" i="20"/>
  <c r="G1566" i="20"/>
  <c r="G839" i="20"/>
  <c r="G1319" i="20"/>
  <c r="G2022" i="20"/>
  <c r="G425" i="20"/>
  <c r="G1416" i="20"/>
  <c r="G324" i="20"/>
  <c r="G867" i="20"/>
  <c r="G233" i="20"/>
  <c r="G1048" i="20"/>
  <c r="G1411" i="20"/>
  <c r="G1862" i="20"/>
  <c r="G427" i="20"/>
  <c r="G1595" i="20"/>
  <c r="G1764" i="20"/>
  <c r="G1144" i="20"/>
  <c r="G1667" i="20"/>
  <c r="G1776" i="20"/>
  <c r="G949" i="20"/>
  <c r="G1132" i="20"/>
  <c r="G1022" i="20"/>
  <c r="G1818" i="20"/>
  <c r="G1936" i="20"/>
  <c r="G1754" i="20"/>
  <c r="G1509" i="20"/>
  <c r="G1725" i="20"/>
  <c r="G2036" i="20"/>
  <c r="G1746" i="20"/>
  <c r="G1594" i="20"/>
  <c r="G698" i="20"/>
  <c r="G1586" i="20"/>
  <c r="G1463" i="20"/>
  <c r="G1052" i="20"/>
  <c r="G1587" i="20"/>
  <c r="G1204" i="20"/>
  <c r="G1766" i="20"/>
  <c r="G238" i="20"/>
  <c r="G1215" i="20"/>
  <c r="G1745" i="20"/>
  <c r="G610" i="20"/>
  <c r="G1272" i="20"/>
  <c r="G964" i="20"/>
  <c r="G1664" i="20"/>
  <c r="G1567" i="20"/>
  <c r="G1313" i="20"/>
  <c r="G1316" i="20"/>
  <c r="G664" i="20"/>
  <c r="G300" i="20"/>
  <c r="G1858" i="20"/>
  <c r="G1843" i="20"/>
  <c r="G746" i="20"/>
  <c r="G329" i="20"/>
  <c r="G1375" i="20"/>
  <c r="G1584" i="20"/>
  <c r="G1310" i="20"/>
  <c r="G1865" i="20"/>
  <c r="G469" i="20"/>
  <c r="G1485" i="20"/>
  <c r="G1662" i="20"/>
  <c r="G1867" i="20"/>
  <c r="G1229" i="20"/>
  <c r="G1015" i="20"/>
  <c r="G1554" i="20"/>
  <c r="G1947" i="20"/>
  <c r="G133" i="20"/>
  <c r="G649" i="20"/>
  <c r="N628" i="20" s="1"/>
  <c r="G1452" i="20"/>
  <c r="G505" i="20"/>
  <c r="G766" i="20"/>
  <c r="G966" i="20"/>
  <c r="G1237" i="20"/>
  <c r="G194" i="20"/>
  <c r="G937" i="20"/>
  <c r="G1679" i="20"/>
  <c r="G1123" i="20"/>
  <c r="G653" i="20"/>
  <c r="G1417" i="20"/>
  <c r="G502" i="20"/>
  <c r="G1931" i="20"/>
  <c r="G320" i="20"/>
  <c r="G2037" i="20"/>
  <c r="G822" i="20"/>
  <c r="G1901" i="20"/>
  <c r="G1225" i="20"/>
  <c r="G1210" i="20"/>
  <c r="G917" i="20"/>
  <c r="G776" i="20"/>
  <c r="G1847" i="20"/>
  <c r="G1930" i="20"/>
  <c r="G578" i="20"/>
  <c r="G597" i="20"/>
  <c r="G1209" i="20"/>
  <c r="G1506" i="20"/>
  <c r="G2047" i="20"/>
  <c r="G1592" i="20"/>
  <c r="G1008" i="20"/>
  <c r="G1600" i="20"/>
  <c r="G1777" i="20"/>
  <c r="G250" i="20"/>
  <c r="G1571" i="20"/>
  <c r="G1238" i="20"/>
  <c r="G248" i="20"/>
  <c r="G1673" i="20"/>
  <c r="G1284" i="20"/>
  <c r="G1838" i="20"/>
  <c r="G1958" i="20"/>
  <c r="G2029" i="20"/>
  <c r="G128" i="20"/>
  <c r="G756" i="20"/>
  <c r="G2042" i="20"/>
  <c r="G770" i="20"/>
  <c r="G1413" i="20"/>
  <c r="G159" i="20"/>
  <c r="G1834" i="20"/>
  <c r="G1146" i="20"/>
  <c r="G1573" i="20"/>
  <c r="G2030" i="20"/>
  <c r="G1130" i="20"/>
  <c r="G2023" i="20"/>
  <c r="G1912" i="20"/>
  <c r="G1309" i="20"/>
  <c r="G498" i="20"/>
  <c r="G2019" i="20"/>
  <c r="G1057" i="20"/>
  <c r="G683" i="20"/>
  <c r="G1276" i="20"/>
  <c r="G1036" i="20"/>
  <c r="G1205" i="20"/>
  <c r="G1728" i="20"/>
  <c r="G315" i="20"/>
  <c r="G403" i="20"/>
  <c r="G607" i="20"/>
  <c r="G503" i="20"/>
  <c r="G1223" i="20"/>
  <c r="G489" i="20"/>
  <c r="G103" i="20"/>
  <c r="G1240" i="20"/>
  <c r="G1942" i="20"/>
  <c r="G1576" i="20"/>
  <c r="G309" i="20"/>
  <c r="G334" i="20"/>
  <c r="G1759" i="20"/>
  <c r="G1750" i="20"/>
  <c r="G1121" i="20"/>
  <c r="G289" i="20"/>
  <c r="G606" i="20"/>
  <c r="G212" i="20"/>
  <c r="G1671" i="20"/>
  <c r="G1588" i="20"/>
  <c r="G484" i="20"/>
  <c r="G1453" i="20"/>
  <c r="G1585" i="20"/>
  <c r="G1761" i="20"/>
  <c r="G774" i="20"/>
  <c r="G1591" i="20"/>
  <c r="G1403" i="20"/>
  <c r="G375" i="20"/>
  <c r="G733" i="20"/>
  <c r="G234" i="20"/>
  <c r="G1298" i="20"/>
  <c r="G232" i="20"/>
  <c r="G1041" i="20"/>
  <c r="G406" i="20"/>
  <c r="G120" i="20"/>
  <c r="G1325" i="20"/>
  <c r="G1136" i="20"/>
  <c r="G1419" i="20"/>
  <c r="G863" i="20"/>
  <c r="G1493" i="20"/>
  <c r="G483" i="20"/>
  <c r="G1454" i="20"/>
  <c r="G136" i="20"/>
  <c r="G581" i="20"/>
  <c r="G1868" i="20"/>
  <c r="G509" i="20"/>
  <c r="G967" i="20"/>
  <c r="G854" i="20"/>
  <c r="G970" i="20"/>
  <c r="G148" i="20"/>
  <c r="G880" i="20"/>
  <c r="G305" i="20"/>
  <c r="G754" i="20"/>
  <c r="G1772" i="20"/>
  <c r="G957" i="20"/>
  <c r="G1185" i="20"/>
  <c r="G1932" i="20"/>
  <c r="G1231" i="20"/>
  <c r="G773" i="20"/>
  <c r="G1131" i="20"/>
  <c r="G1744" i="20"/>
  <c r="G1053" i="20"/>
  <c r="G415" i="20"/>
  <c r="G1561" i="20"/>
  <c r="G1191" i="20"/>
  <c r="G508" i="20"/>
  <c r="G862" i="20"/>
  <c r="G938" i="20"/>
  <c r="G1232" i="20"/>
  <c r="G1655" i="20"/>
  <c r="G1464" i="20"/>
  <c r="G302" i="20"/>
  <c r="G1926" i="20"/>
  <c r="G1124" i="20"/>
  <c r="G396" i="20"/>
  <c r="G244" i="20"/>
  <c r="G382" i="20"/>
  <c r="G2020" i="20"/>
  <c r="G1564" i="20"/>
  <c r="G155" i="20"/>
  <c r="G1479" i="20"/>
  <c r="G1933" i="20"/>
  <c r="G1658" i="20"/>
  <c r="G520" i="20"/>
  <c r="G598" i="20"/>
  <c r="G916" i="20"/>
  <c r="G1832" i="20"/>
  <c r="G602" i="20"/>
  <c r="G962" i="20"/>
  <c r="G145" i="20"/>
  <c r="G747" i="20"/>
  <c r="G464" i="20"/>
  <c r="G1233" i="20"/>
  <c r="G418" i="20"/>
  <c r="G281" i="20"/>
  <c r="G479" i="20"/>
  <c r="G423" i="20"/>
  <c r="G1846" i="20"/>
  <c r="G108" i="20"/>
  <c r="G388" i="20"/>
  <c r="G462" i="20"/>
  <c r="G1388" i="20"/>
  <c r="G1367" i="20"/>
  <c r="G405" i="20"/>
  <c r="G1303" i="20"/>
  <c r="G790" i="20"/>
  <c r="G412" i="20"/>
  <c r="G669" i="20"/>
  <c r="G1483" i="20"/>
  <c r="G1598" i="20"/>
  <c r="G1491" i="20"/>
  <c r="G511" i="20"/>
  <c r="G1376" i="20"/>
  <c r="G1844" i="20"/>
  <c r="G318" i="20"/>
  <c r="G1236" i="20"/>
  <c r="G283" i="20"/>
  <c r="G1211" i="20"/>
  <c r="G1026" i="20"/>
  <c r="G336" i="20"/>
  <c r="G968" i="20"/>
  <c r="G584" i="20"/>
  <c r="G2013" i="20"/>
  <c r="G314" i="20"/>
  <c r="G1030" i="20"/>
  <c r="G1235" i="20"/>
  <c r="G772" i="20"/>
  <c r="G1574" i="20"/>
  <c r="G943" i="20"/>
  <c r="G246" i="20"/>
  <c r="G1412" i="20"/>
  <c r="G1836" i="20"/>
  <c r="G697" i="20"/>
  <c r="G665" i="20"/>
  <c r="G1221" i="20"/>
  <c r="G561" i="20"/>
  <c r="N538" i="20" s="1"/>
  <c r="G514" i="20"/>
  <c r="G1500" i="20"/>
  <c r="G1853" i="20"/>
  <c r="G832" i="20"/>
  <c r="G1323" i="20"/>
  <c r="G1672" i="20"/>
  <c r="G872" i="20"/>
  <c r="G1366" i="20"/>
  <c r="G328" i="20"/>
  <c r="G1047" i="20"/>
  <c r="G1365" i="20"/>
  <c r="G1771" i="20"/>
  <c r="G1842" i="20"/>
  <c r="G1293" i="20"/>
  <c r="G413" i="20"/>
  <c r="G1408" i="20"/>
  <c r="G1839" i="20"/>
  <c r="G338" i="20"/>
  <c r="G596" i="20"/>
  <c r="G519" i="20"/>
  <c r="G736" i="20"/>
  <c r="G1418" i="20"/>
  <c r="G1758" i="20"/>
  <c r="G663" i="20"/>
  <c r="G1292" i="20"/>
  <c r="G1321" i="20"/>
  <c r="G1480" i="20"/>
  <c r="G572" i="20"/>
  <c r="G1863" i="20"/>
  <c r="G868" i="20"/>
  <c r="G1202" i="20"/>
  <c r="G1934" i="20"/>
  <c r="G1649" i="20"/>
  <c r="G564" i="20"/>
  <c r="G236" i="20"/>
  <c r="G400" i="20"/>
  <c r="G1274" i="20"/>
  <c r="G1051" i="20"/>
  <c r="G1765" i="20"/>
  <c r="G944" i="20"/>
  <c r="G323" i="20"/>
  <c r="G1361" i="20"/>
  <c r="G1774" i="20"/>
  <c r="G322" i="20"/>
  <c r="G125" i="20"/>
  <c r="G1944" i="20"/>
  <c r="G237" i="20"/>
  <c r="G2021" i="20"/>
  <c r="G1569" i="20"/>
  <c r="G1056" i="20"/>
  <c r="G1096" i="20"/>
  <c r="G1864" i="20"/>
  <c r="G688" i="20"/>
  <c r="G110" i="20"/>
  <c r="G1116" i="20"/>
  <c r="G1145" i="20"/>
  <c r="G1045" i="20"/>
  <c r="G1633" i="20"/>
  <c r="G758" i="20"/>
  <c r="G608" i="20"/>
  <c r="G1959" i="20"/>
  <c r="G961" i="20"/>
  <c r="G1763" i="20"/>
  <c r="G1392" i="20"/>
  <c r="G129" i="20"/>
  <c r="G1507" i="20"/>
  <c r="G952" i="20"/>
  <c r="G940" i="20"/>
  <c r="G941" i="20"/>
  <c r="G154" i="20"/>
  <c r="G959" i="20"/>
  <c r="G689" i="20"/>
  <c r="G1033" i="20"/>
  <c r="G1369" i="20"/>
  <c r="N1348" i="20" s="1"/>
  <c r="G939" i="20"/>
  <c r="G1326" i="20"/>
  <c r="G1135" i="20"/>
  <c r="G1195" i="20"/>
  <c r="G1923" i="20"/>
  <c r="G2041" i="20"/>
  <c r="G594" i="20"/>
  <c r="G1583" i="20"/>
  <c r="G1503" i="20"/>
  <c r="G787" i="20"/>
  <c r="G1024" i="20"/>
  <c r="G217" i="20"/>
  <c r="G507" i="20"/>
  <c r="G1756" i="20"/>
  <c r="G147" i="20"/>
  <c r="G1046" i="20"/>
  <c r="G422" i="20"/>
  <c r="G1661" i="20"/>
  <c r="G1058" i="20"/>
  <c r="G2032" i="20"/>
  <c r="G140" i="20"/>
  <c r="G673" i="20"/>
  <c r="G587" i="20"/>
  <c r="G1937" i="20"/>
  <c r="G1299" i="20"/>
  <c r="G201" i="20"/>
  <c r="G316" i="20"/>
  <c r="G317" i="20"/>
  <c r="G304" i="20"/>
  <c r="G1859" i="20"/>
  <c r="G214" i="20"/>
  <c r="G1685" i="20"/>
  <c r="G1547" i="20"/>
  <c r="G1502" i="20"/>
  <c r="G1037" i="20"/>
  <c r="G378" i="20"/>
  <c r="G1904" i="20"/>
  <c r="G1409" i="20"/>
  <c r="G1027" i="20"/>
  <c r="G1902" i="20"/>
  <c r="G875" i="20"/>
  <c r="G417" i="20"/>
  <c r="G518" i="20"/>
  <c r="G1866" i="20"/>
  <c r="G593" i="20"/>
  <c r="G865" i="20"/>
  <c r="G771" i="20"/>
  <c r="G472" i="20"/>
  <c r="G1402" i="20"/>
  <c r="G1218" i="20"/>
  <c r="G407" i="20"/>
  <c r="G751" i="20"/>
  <c r="G429" i="20"/>
  <c r="G1817" i="20"/>
  <c r="G411" i="20"/>
  <c r="G1395" i="20"/>
  <c r="G1102" i="20"/>
  <c r="G497" i="20"/>
  <c r="G1213" i="20"/>
  <c r="G753" i="20"/>
  <c r="G373" i="20"/>
  <c r="G1234" i="20"/>
  <c r="G645" i="20"/>
  <c r="G2003" i="20"/>
  <c r="G146" i="20"/>
  <c r="G218" i="20"/>
  <c r="G919" i="20"/>
  <c r="G1140" i="20"/>
  <c r="G674" i="20"/>
  <c r="G1748" i="20"/>
  <c r="G340" i="20"/>
  <c r="G1224" i="20"/>
  <c r="G138" i="20"/>
  <c r="G1943" i="20"/>
  <c r="G679" i="20"/>
  <c r="I97" i="20"/>
  <c r="G933" i="20"/>
  <c r="G1141" i="20"/>
  <c r="G410" i="20"/>
  <c r="G1189" i="20"/>
  <c r="G294" i="20"/>
  <c r="G1501" i="20"/>
  <c r="G1940" i="20"/>
  <c r="G466" i="20"/>
  <c r="G759" i="20"/>
  <c r="G2018" i="20"/>
  <c r="G1009" i="20"/>
  <c r="G1050" i="20"/>
  <c r="G408" i="20"/>
  <c r="G1023" i="20"/>
  <c r="G555" i="20"/>
  <c r="G1770" i="20"/>
  <c r="G1840" i="20"/>
  <c r="G496" i="20"/>
  <c r="G876" i="20"/>
  <c r="G1870" i="20"/>
  <c r="G1318" i="20"/>
  <c r="G463" i="20"/>
  <c r="G1126" i="20"/>
  <c r="G1304" i="20"/>
  <c r="G605" i="20"/>
  <c r="G763" i="20"/>
  <c r="G1856" i="20"/>
  <c r="G1401" i="20"/>
  <c r="G1490" i="20"/>
  <c r="G1747" i="20"/>
  <c r="G682" i="20"/>
  <c r="G853" i="20"/>
  <c r="G1645" i="20"/>
  <c r="G603" i="20"/>
  <c r="G513" i="20"/>
  <c r="G1938" i="20"/>
  <c r="G126" i="20"/>
  <c r="G855" i="20"/>
  <c r="G151" i="20"/>
  <c r="G1674" i="20"/>
  <c r="G1755" i="20"/>
  <c r="G599" i="20"/>
  <c r="G1760" i="20"/>
  <c r="G512" i="20"/>
  <c r="G325" i="20"/>
  <c r="G1677" i="20"/>
  <c r="G1949" i="20"/>
  <c r="G945" i="20"/>
  <c r="G1150" i="20"/>
  <c r="G486" i="20"/>
  <c r="G404" i="20"/>
  <c r="G951" i="20"/>
  <c r="G1956" i="20"/>
  <c r="G139" i="20"/>
  <c r="G660" i="20"/>
  <c r="G506" i="20"/>
  <c r="G699" i="20"/>
  <c r="G1952" i="20"/>
  <c r="G1757" i="20"/>
  <c r="G782" i="20"/>
  <c r="G216" i="20"/>
  <c r="G1678" i="20"/>
  <c r="G397" i="20"/>
  <c r="G2048" i="20"/>
  <c r="G1400" i="20"/>
  <c r="G1653" i="20"/>
  <c r="G1669" i="20"/>
  <c r="G1676" i="20"/>
  <c r="G1230" i="20"/>
  <c r="G1207" i="20"/>
  <c r="G160" i="20"/>
  <c r="G1831" i="20"/>
  <c r="G1769" i="20"/>
  <c r="G1214" i="20"/>
  <c r="G1311" i="20"/>
  <c r="G692" i="20"/>
  <c r="G1327" i="20"/>
  <c r="G1597" i="20"/>
  <c r="G921" i="20"/>
  <c r="G778" i="20"/>
  <c r="G134" i="20"/>
  <c r="G2045" i="20"/>
  <c r="G1997" i="20"/>
  <c r="G1659" i="20"/>
  <c r="G1118" i="20"/>
  <c r="G1960" i="20"/>
  <c r="G421" i="20"/>
  <c r="G1328" i="20"/>
  <c r="G1688" i="20"/>
  <c r="G2039" i="20"/>
  <c r="G963" i="20"/>
  <c r="G152" i="20"/>
  <c r="G104" i="20"/>
  <c r="G1504" i="20"/>
  <c r="G239" i="20"/>
  <c r="G677" i="20"/>
  <c r="G1665" i="20"/>
  <c r="G575" i="20"/>
  <c r="G2035" i="20"/>
  <c r="G333" i="20"/>
  <c r="G1389" i="20"/>
  <c r="G1861" i="20"/>
  <c r="G1139" i="20"/>
  <c r="G492" i="20"/>
  <c r="G1134" i="20"/>
  <c r="G1405" i="20"/>
  <c r="G1148" i="20"/>
  <c r="G1201" i="20"/>
  <c r="G684" i="20"/>
  <c r="G2016" i="20"/>
  <c r="G1577" i="20"/>
  <c r="G779" i="20"/>
  <c r="G1753" i="20"/>
  <c r="G965" i="20"/>
  <c r="G1684" i="20"/>
  <c r="G1850" i="20"/>
  <c r="G1939" i="20"/>
  <c r="G1780" i="20"/>
  <c r="G488" i="20"/>
  <c r="G1227" i="20"/>
  <c r="G1307" i="20"/>
  <c r="G1599" i="20"/>
  <c r="G156" i="20"/>
  <c r="G332" i="20"/>
  <c r="G1324" i="20"/>
  <c r="G1946" i="20"/>
  <c r="G1593" i="20"/>
  <c r="G124" i="20"/>
  <c r="G783" i="20"/>
  <c r="G222" i="20"/>
  <c r="G1147" i="20"/>
  <c r="G1320" i="20"/>
  <c r="G1396" i="20"/>
  <c r="G877" i="20"/>
  <c r="G245" i="20"/>
  <c r="G1322" i="20"/>
  <c r="G399" i="20"/>
  <c r="G394" i="20"/>
  <c r="G1948" i="20"/>
  <c r="G424" i="20"/>
  <c r="G1125" i="20"/>
  <c r="G858" i="20"/>
  <c r="G785" i="20"/>
  <c r="G249" i="20"/>
  <c r="G1489" i="20"/>
  <c r="G131" i="20"/>
  <c r="G1398" i="20"/>
  <c r="G871" i="20"/>
  <c r="G781" i="20"/>
  <c r="G567" i="20"/>
  <c r="G339" i="20"/>
  <c r="G676" i="20"/>
  <c r="G600" i="20"/>
  <c r="G2034" i="20"/>
  <c r="G769" i="20"/>
  <c r="G1690" i="20"/>
  <c r="G1578" i="20"/>
  <c r="G1488" i="20"/>
  <c r="G874" i="20"/>
  <c r="G848" i="20"/>
  <c r="G1474" i="20"/>
  <c r="G601" i="20"/>
  <c r="G577" i="20"/>
  <c r="G221" i="20"/>
  <c r="G2006" i="20"/>
  <c r="G750" i="20"/>
  <c r="G1239" i="20"/>
  <c r="G777" i="20"/>
  <c r="G2049" i="20"/>
  <c r="G859" i="20"/>
  <c r="G1680" i="20"/>
  <c r="G1031" i="20"/>
  <c r="G583" i="20"/>
  <c r="G515" i="20"/>
  <c r="G1906" i="20"/>
  <c r="G308" i="20"/>
  <c r="G1055" i="20"/>
  <c r="G1928" i="20"/>
  <c r="H1973" i="13"/>
  <c r="H1982" i="13"/>
  <c r="H1983" i="13"/>
  <c r="H1952" i="13"/>
  <c r="H1950" i="13"/>
  <c r="H1948" i="13"/>
  <c r="H1949" i="13"/>
  <c r="H1951" i="13"/>
  <c r="H1981" i="13"/>
  <c r="H1932" i="13"/>
  <c r="H1976" i="13"/>
  <c r="H1960" i="13"/>
  <c r="H1953" i="13"/>
  <c r="H1980" i="13"/>
  <c r="H1957" i="13"/>
  <c r="H1959" i="13"/>
  <c r="H1935" i="13"/>
  <c r="H1984" i="13"/>
  <c r="H1985" i="13"/>
  <c r="H1968" i="13"/>
  <c r="H1961" i="13"/>
  <c r="H1954" i="13"/>
  <c r="H1958" i="13"/>
  <c r="H1967" i="13"/>
  <c r="H1931" i="13"/>
  <c r="M1931" i="13" s="1"/>
  <c r="H1930" i="13"/>
  <c r="M1930" i="13" s="1"/>
  <c r="H1928" i="13"/>
  <c r="H1977" i="13"/>
  <c r="H1969" i="13"/>
  <c r="H1962" i="13"/>
  <c r="H1956" i="13"/>
  <c r="H1971" i="13"/>
  <c r="H1936" i="13"/>
  <c r="H1937" i="13"/>
  <c r="H1938" i="13"/>
  <c r="H1986" i="13"/>
  <c r="H1978" i="13"/>
  <c r="H1970" i="13"/>
  <c r="H1964" i="13"/>
  <c r="H1944" i="13"/>
  <c r="H1945" i="13"/>
  <c r="H1946" i="13"/>
  <c r="J1924" i="13"/>
  <c r="H1987" i="13"/>
  <c r="H1979" i="13"/>
  <c r="H1972" i="13"/>
  <c r="H1955" i="13"/>
  <c r="H1942" i="13"/>
  <c r="H1963" i="13"/>
  <c r="H1939" i="13"/>
  <c r="H1929" i="13"/>
  <c r="M1929" i="13" s="1"/>
  <c r="H1933" i="13"/>
  <c r="H1934" i="13"/>
  <c r="H1966" i="13"/>
  <c r="H1947" i="13"/>
  <c r="H1975" i="13"/>
  <c r="H1940" i="13"/>
  <c r="H1941" i="13"/>
  <c r="H1943" i="13"/>
  <c r="H1965" i="13"/>
  <c r="H1974" i="13"/>
  <c r="H935" i="13"/>
  <c r="H936" i="13"/>
  <c r="H887" i="13"/>
  <c r="M887" i="13" s="1"/>
  <c r="J880" i="13"/>
  <c r="H894" i="13"/>
  <c r="H924" i="13"/>
  <c r="H943" i="13"/>
  <c r="H895" i="13"/>
  <c r="H892" i="13"/>
  <c r="H898" i="13"/>
  <c r="H899" i="13"/>
  <c r="H902" i="13"/>
  <c r="H893" i="13"/>
  <c r="M873" i="13" s="1"/>
  <c r="M874" i="13" s="1"/>
  <c r="H909" i="13"/>
  <c r="H891" i="13"/>
  <c r="H903" i="13"/>
  <c r="H897" i="13"/>
  <c r="H906" i="13"/>
  <c r="H907" i="13"/>
  <c r="H910" i="13"/>
  <c r="H925" i="13"/>
  <c r="H941" i="13"/>
  <c r="H896" i="13"/>
  <c r="H934" i="13"/>
  <c r="H905" i="13"/>
  <c r="H914" i="13"/>
  <c r="H915" i="13"/>
  <c r="H918" i="13"/>
  <c r="H900" i="13"/>
  <c r="H889" i="13"/>
  <c r="H904" i="13"/>
  <c r="H913" i="13"/>
  <c r="H922" i="13"/>
  <c r="H923" i="13"/>
  <c r="H926" i="13"/>
  <c r="H932" i="13"/>
  <c r="H916" i="13"/>
  <c r="H942" i="13"/>
  <c r="H911" i="13"/>
  <c r="H912" i="13"/>
  <c r="H921" i="13"/>
  <c r="H930" i="13"/>
  <c r="H931" i="13"/>
  <c r="H901" i="13"/>
  <c r="H884" i="13"/>
  <c r="H888" i="13"/>
  <c r="M888" i="13" s="1"/>
  <c r="H919" i="13"/>
  <c r="H920" i="13"/>
  <c r="H929" i="13"/>
  <c r="H938" i="13"/>
  <c r="H939" i="13"/>
  <c r="H933" i="13"/>
  <c r="H940" i="13"/>
  <c r="H908" i="13"/>
  <c r="H886" i="13"/>
  <c r="M886" i="13" s="1"/>
  <c r="H917" i="13"/>
  <c r="H927" i="13"/>
  <c r="H928" i="13"/>
  <c r="H937" i="13"/>
  <c r="H885" i="13"/>
  <c r="M885" i="13" s="1"/>
  <c r="H890" i="13"/>
  <c r="J793" i="13"/>
  <c r="H816" i="13"/>
  <c r="H832" i="13"/>
  <c r="H823" i="13"/>
  <c r="H818" i="13"/>
  <c r="H828" i="13"/>
  <c r="H851" i="13"/>
  <c r="H813" i="13"/>
  <c r="H814" i="13"/>
  <c r="H817" i="13"/>
  <c r="H807" i="13"/>
  <c r="H855" i="13"/>
  <c r="H826" i="13"/>
  <c r="H836" i="13"/>
  <c r="H797" i="13"/>
  <c r="H821" i="13"/>
  <c r="H822" i="13"/>
  <c r="H825" i="13"/>
  <c r="H839" i="13"/>
  <c r="H824" i="13"/>
  <c r="H834" i="13"/>
  <c r="H844" i="13"/>
  <c r="H819" i="13"/>
  <c r="H829" i="13"/>
  <c r="H830" i="13"/>
  <c r="H833" i="13"/>
  <c r="H808" i="13"/>
  <c r="H856" i="13"/>
  <c r="H842" i="13"/>
  <c r="H852" i="13"/>
  <c r="H806" i="13"/>
  <c r="H837" i="13"/>
  <c r="H838" i="13"/>
  <c r="H841" i="13"/>
  <c r="H840" i="13"/>
  <c r="H850" i="13"/>
  <c r="H798" i="13"/>
  <c r="M798" i="13" s="1"/>
  <c r="H799" i="13"/>
  <c r="M799" i="13" s="1"/>
  <c r="H811" i="13"/>
  <c r="H845" i="13"/>
  <c r="H846" i="13"/>
  <c r="H849" i="13"/>
  <c r="H815" i="13"/>
  <c r="H805" i="13"/>
  <c r="M805" i="13" s="1"/>
  <c r="H804" i="13"/>
  <c r="M804" i="13" s="1"/>
  <c r="H809" i="13"/>
  <c r="H827" i="13"/>
  <c r="H853" i="13"/>
  <c r="H854" i="13"/>
  <c r="H800" i="13"/>
  <c r="M800" i="13" s="1"/>
  <c r="H803" i="13"/>
  <c r="M803" i="13" s="1"/>
  <c r="H802" i="13"/>
  <c r="M802" i="13" s="1"/>
  <c r="H812" i="13"/>
  <c r="H835" i="13"/>
  <c r="H801" i="13"/>
  <c r="M801" i="13" s="1"/>
  <c r="H831" i="13"/>
  <c r="H847" i="13"/>
  <c r="H848" i="13"/>
  <c r="H810" i="13"/>
  <c r="H820" i="13"/>
  <c r="H843" i="13"/>
  <c r="G1061" i="20" l="1"/>
  <c r="M1754" i="13"/>
  <c r="H1814" i="13"/>
  <c r="M176" i="13"/>
  <c r="M177" i="13" s="1"/>
  <c r="M199" i="13"/>
  <c r="I318" i="13"/>
  <c r="J318" i="13" s="1"/>
  <c r="I275" i="13"/>
  <c r="I312" i="13"/>
  <c r="J312" i="13" s="1"/>
  <c r="I321" i="13"/>
  <c r="J321" i="13" s="1"/>
  <c r="I316" i="13"/>
  <c r="J316" i="13" s="1"/>
  <c r="I290" i="13"/>
  <c r="J290" i="13" s="1"/>
  <c r="I328" i="13"/>
  <c r="J328" i="13" s="1"/>
  <c r="I292" i="13"/>
  <c r="J292" i="13" s="1"/>
  <c r="I293" i="13"/>
  <c r="J293" i="13" s="1"/>
  <c r="I288" i="13"/>
  <c r="J288" i="13" s="1"/>
  <c r="I297" i="13"/>
  <c r="J297" i="13" s="1"/>
  <c r="I314" i="13"/>
  <c r="J314" i="13" s="1"/>
  <c r="I325" i="13"/>
  <c r="J325" i="13" s="1"/>
  <c r="I319" i="13"/>
  <c r="J319" i="13" s="1"/>
  <c r="I282" i="13"/>
  <c r="I323" i="13"/>
  <c r="J323" i="13" s="1"/>
  <c r="I326" i="13"/>
  <c r="J326" i="13" s="1"/>
  <c r="I305" i="13"/>
  <c r="J305" i="13" s="1"/>
  <c r="I287" i="13"/>
  <c r="J287" i="13" s="1"/>
  <c r="I334" i="13"/>
  <c r="J334" i="13" s="1"/>
  <c r="I308" i="13"/>
  <c r="J308" i="13" s="1"/>
  <c r="I332" i="13"/>
  <c r="J332" i="13" s="1"/>
  <c r="I278" i="13"/>
  <c r="I313" i="13"/>
  <c r="J313" i="13" s="1"/>
  <c r="I309" i="13"/>
  <c r="J309" i="13" s="1"/>
  <c r="I301" i="13"/>
  <c r="J301" i="13" s="1"/>
  <c r="I330" i="13"/>
  <c r="J330" i="13" s="1"/>
  <c r="I279" i="13"/>
  <c r="I296" i="13"/>
  <c r="J296" i="13" s="1"/>
  <c r="I315" i="13"/>
  <c r="J315" i="13" s="1"/>
  <c r="I291" i="13"/>
  <c r="J291" i="13" s="1"/>
  <c r="I276" i="13"/>
  <c r="I331" i="13"/>
  <c r="J331" i="13" s="1"/>
  <c r="I285" i="13"/>
  <c r="I304" i="13"/>
  <c r="J304" i="13" s="1"/>
  <c r="I281" i="13"/>
  <c r="I310" i="13"/>
  <c r="J310" i="13" s="1"/>
  <c r="I302" i="13"/>
  <c r="J302" i="13" s="1"/>
  <c r="I280" i="13"/>
  <c r="I324" i="13"/>
  <c r="J324" i="13" s="1"/>
  <c r="I320" i="13"/>
  <c r="J320" i="13" s="1"/>
  <c r="I298" i="13"/>
  <c r="J298" i="13" s="1"/>
  <c r="I295" i="13"/>
  <c r="J295" i="13" s="1"/>
  <c r="I283" i="13"/>
  <c r="I294" i="13"/>
  <c r="J294" i="13" s="1"/>
  <c r="I317" i="13"/>
  <c r="J317" i="13" s="1"/>
  <c r="I284" i="13"/>
  <c r="I333" i="13"/>
  <c r="J333" i="13" s="1"/>
  <c r="I329" i="13"/>
  <c r="J329" i="13" s="1"/>
  <c r="I306" i="13"/>
  <c r="J306" i="13" s="1"/>
  <c r="I311" i="13"/>
  <c r="J311" i="13" s="1"/>
  <c r="I307" i="13"/>
  <c r="J307" i="13" s="1"/>
  <c r="I289" i="13"/>
  <c r="J289" i="13" s="1"/>
  <c r="I303" i="13"/>
  <c r="J303" i="13" s="1"/>
  <c r="I300" i="13"/>
  <c r="J300" i="13" s="1"/>
  <c r="I286" i="13"/>
  <c r="J286" i="13" s="1"/>
  <c r="I327" i="13"/>
  <c r="J327" i="13" s="1"/>
  <c r="I322" i="13"/>
  <c r="J322" i="13" s="1"/>
  <c r="I299" i="13"/>
  <c r="J299" i="13" s="1"/>
  <c r="I277" i="13"/>
  <c r="G341" i="20"/>
  <c r="G1511" i="20"/>
  <c r="H1205" i="13"/>
  <c r="M1145" i="13"/>
  <c r="M1134" i="13"/>
  <c r="M1135" i="13" s="1"/>
  <c r="M1154" i="13"/>
  <c r="I1079" i="13"/>
  <c r="J1079" i="13" s="1"/>
  <c r="I1101" i="13"/>
  <c r="J1101" i="13" s="1"/>
  <c r="I1088" i="13"/>
  <c r="J1088" i="13" s="1"/>
  <c r="I1097" i="13"/>
  <c r="J1097" i="13" s="1"/>
  <c r="I1098" i="13"/>
  <c r="J1098" i="13" s="1"/>
  <c r="I1115" i="13"/>
  <c r="J1115" i="13" s="1"/>
  <c r="I1116" i="13"/>
  <c r="J1116" i="13" s="1"/>
  <c r="I1086" i="13"/>
  <c r="J1086" i="13" s="1"/>
  <c r="I1095" i="13"/>
  <c r="J1095" i="13" s="1"/>
  <c r="I1104" i="13"/>
  <c r="J1104" i="13" s="1"/>
  <c r="I1113" i="13"/>
  <c r="J1113" i="13" s="1"/>
  <c r="I1114" i="13"/>
  <c r="J1114" i="13" s="1"/>
  <c r="I1059" i="13"/>
  <c r="I1058" i="13"/>
  <c r="I1117" i="13"/>
  <c r="J1117" i="13" s="1"/>
  <c r="I1094" i="13"/>
  <c r="J1094" i="13" s="1"/>
  <c r="I1103" i="13"/>
  <c r="J1103" i="13" s="1"/>
  <c r="I1112" i="13"/>
  <c r="J1112" i="13" s="1"/>
  <c r="I1061" i="13"/>
  <c r="I1060" i="13"/>
  <c r="I1069" i="13"/>
  <c r="J1069" i="13" s="1"/>
  <c r="I1110" i="13"/>
  <c r="J1110" i="13" s="1"/>
  <c r="I1102" i="13"/>
  <c r="J1102" i="13" s="1"/>
  <c r="I1111" i="13"/>
  <c r="J1111" i="13" s="1"/>
  <c r="I1065" i="13"/>
  <c r="I1066" i="13"/>
  <c r="I1067" i="13"/>
  <c r="I1068" i="13"/>
  <c r="J1068" i="13" s="1"/>
  <c r="I1063" i="13"/>
  <c r="I1072" i="13"/>
  <c r="J1072" i="13" s="1"/>
  <c r="I1064" i="13"/>
  <c r="I1073" i="13"/>
  <c r="J1073" i="13" s="1"/>
  <c r="I1074" i="13"/>
  <c r="J1074" i="13" s="1"/>
  <c r="I1075" i="13"/>
  <c r="J1075" i="13" s="1"/>
  <c r="I1076" i="13"/>
  <c r="J1076" i="13" s="1"/>
  <c r="I1077" i="13"/>
  <c r="J1077" i="13" s="1"/>
  <c r="I1071" i="13"/>
  <c r="J1071" i="13" s="1"/>
  <c r="I1106" i="13"/>
  <c r="J1106" i="13" s="1"/>
  <c r="I1081" i="13"/>
  <c r="J1081" i="13" s="1"/>
  <c r="I1082" i="13"/>
  <c r="J1082" i="13" s="1"/>
  <c r="I1083" i="13"/>
  <c r="J1083" i="13" s="1"/>
  <c r="I1084" i="13"/>
  <c r="J1084" i="13" s="1"/>
  <c r="I1085" i="13"/>
  <c r="J1085" i="13" s="1"/>
  <c r="I1062" i="13"/>
  <c r="I1105" i="13"/>
  <c r="J1105" i="13" s="1"/>
  <c r="I1080" i="13"/>
  <c r="J1080" i="13" s="1"/>
  <c r="I1089" i="13"/>
  <c r="J1089" i="13" s="1"/>
  <c r="I1090" i="13"/>
  <c r="J1090" i="13" s="1"/>
  <c r="I1091" i="13"/>
  <c r="J1091" i="13" s="1"/>
  <c r="I1078" i="13"/>
  <c r="J1078" i="13" s="1"/>
  <c r="I1087" i="13"/>
  <c r="J1087" i="13" s="1"/>
  <c r="I1096" i="13"/>
  <c r="J1096" i="13" s="1"/>
  <c r="I1070" i="13"/>
  <c r="J1070" i="13" s="1"/>
  <c r="I1107" i="13"/>
  <c r="J1107" i="13" s="1"/>
  <c r="I1108" i="13"/>
  <c r="J1108" i="13" s="1"/>
  <c r="I1109" i="13"/>
  <c r="J1109" i="13" s="1"/>
  <c r="I1099" i="13"/>
  <c r="J1099" i="13" s="1"/>
  <c r="I1092" i="13"/>
  <c r="J1092" i="13" s="1"/>
  <c r="I1100" i="13"/>
  <c r="J1100" i="13" s="1"/>
  <c r="I1093" i="13"/>
  <c r="J1093" i="13" s="1"/>
  <c r="M1675" i="13"/>
  <c r="M1656" i="13"/>
  <c r="M1657" i="13" s="1"/>
  <c r="I1871" i="13"/>
  <c r="J1871" i="13" s="1"/>
  <c r="I1862" i="13"/>
  <c r="J1862" i="13" s="1"/>
  <c r="I1860" i="13"/>
  <c r="J1860" i="13" s="1"/>
  <c r="I1861" i="13"/>
  <c r="J1861" i="13" s="1"/>
  <c r="I1846" i="13"/>
  <c r="I1879" i="13"/>
  <c r="J1879" i="13" s="1"/>
  <c r="I1878" i="13"/>
  <c r="J1878" i="13" s="1"/>
  <c r="I1868" i="13"/>
  <c r="J1868" i="13" s="1"/>
  <c r="I1869" i="13"/>
  <c r="J1869" i="13" s="1"/>
  <c r="I1854" i="13"/>
  <c r="J1854" i="13" s="1"/>
  <c r="I1887" i="13"/>
  <c r="J1887" i="13" s="1"/>
  <c r="I1874" i="13"/>
  <c r="J1874" i="13" s="1"/>
  <c r="I1876" i="13"/>
  <c r="J1876" i="13" s="1"/>
  <c r="I1877" i="13"/>
  <c r="J1877" i="13" s="1"/>
  <c r="I1858" i="13"/>
  <c r="J1858" i="13" s="1"/>
  <c r="I1849" i="13"/>
  <c r="J1849" i="13" s="1"/>
  <c r="I1885" i="13"/>
  <c r="J1885" i="13" s="1"/>
  <c r="I1895" i="13"/>
  <c r="J1895" i="13" s="1"/>
  <c r="I1841" i="13"/>
  <c r="I1880" i="13"/>
  <c r="J1880" i="13" s="1"/>
  <c r="I1881" i="13"/>
  <c r="J1881" i="13" s="1"/>
  <c r="I1882" i="13"/>
  <c r="J1882" i="13" s="1"/>
  <c r="I1883" i="13"/>
  <c r="J1883" i="13" s="1"/>
  <c r="I1850" i="13"/>
  <c r="J1850" i="13" s="1"/>
  <c r="I1888" i="13"/>
  <c r="J1888" i="13" s="1"/>
  <c r="I1889" i="13"/>
  <c r="J1889" i="13" s="1"/>
  <c r="I1890" i="13"/>
  <c r="J1890" i="13" s="1"/>
  <c r="I1891" i="13"/>
  <c r="J1891" i="13" s="1"/>
  <c r="I1859" i="13"/>
  <c r="J1859" i="13" s="1"/>
  <c r="I1896" i="13"/>
  <c r="J1896" i="13" s="1"/>
  <c r="I1897" i="13"/>
  <c r="J1897" i="13" s="1"/>
  <c r="I1867" i="13"/>
  <c r="J1867" i="13" s="1"/>
  <c r="I1844" i="13"/>
  <c r="I1845" i="13"/>
  <c r="I1843" i="13"/>
  <c r="I1842" i="13"/>
  <c r="I1875" i="13"/>
  <c r="J1875" i="13" s="1"/>
  <c r="I1851" i="13"/>
  <c r="J1851" i="13" s="1"/>
  <c r="I1852" i="13"/>
  <c r="J1852" i="13" s="1"/>
  <c r="I1853" i="13"/>
  <c r="J1853" i="13" s="1"/>
  <c r="I1847" i="13"/>
  <c r="I1857" i="13"/>
  <c r="J1857" i="13" s="1"/>
  <c r="I1865" i="13"/>
  <c r="J1865" i="13" s="1"/>
  <c r="I1855" i="13"/>
  <c r="J1855" i="13" s="1"/>
  <c r="I1893" i="13"/>
  <c r="J1893" i="13" s="1"/>
  <c r="I1863" i="13"/>
  <c r="J1863" i="13" s="1"/>
  <c r="I1886" i="13"/>
  <c r="J1886" i="13" s="1"/>
  <c r="I1884" i="13"/>
  <c r="J1884" i="13" s="1"/>
  <c r="I1848" i="13"/>
  <c r="J1848" i="13" s="1"/>
  <c r="I1899" i="13"/>
  <c r="J1899" i="13" s="1"/>
  <c r="I1892" i="13"/>
  <c r="J1892" i="13" s="1"/>
  <c r="I1856" i="13"/>
  <c r="J1856" i="13" s="1"/>
  <c r="I1900" i="13"/>
  <c r="J1900" i="13" s="1"/>
  <c r="I1873" i="13"/>
  <c r="J1873" i="13" s="1"/>
  <c r="I1894" i="13"/>
  <c r="J1894" i="13" s="1"/>
  <c r="I1870" i="13"/>
  <c r="J1870" i="13" s="1"/>
  <c r="I1872" i="13"/>
  <c r="J1872" i="13" s="1"/>
  <c r="I1898" i="13"/>
  <c r="J1898" i="13" s="1"/>
  <c r="I1864" i="13"/>
  <c r="J1864" i="13" s="1"/>
  <c r="I1866" i="13"/>
  <c r="J1866" i="13" s="1"/>
  <c r="H247" i="13"/>
  <c r="I1430" i="13"/>
  <c r="J1430" i="13" s="1"/>
  <c r="I1423" i="13"/>
  <c r="J1423" i="13" s="1"/>
  <c r="I1406" i="13"/>
  <c r="I1441" i="13"/>
  <c r="J1441" i="13" s="1"/>
  <c r="I1442" i="13"/>
  <c r="J1442" i="13" s="1"/>
  <c r="I1451" i="13"/>
  <c r="J1451" i="13" s="1"/>
  <c r="I1436" i="13"/>
  <c r="J1436" i="13" s="1"/>
  <c r="I1438" i="13"/>
  <c r="J1438" i="13" s="1"/>
  <c r="I1431" i="13"/>
  <c r="J1431" i="13" s="1"/>
  <c r="I1416" i="13"/>
  <c r="J1416" i="13" s="1"/>
  <c r="I1462" i="13"/>
  <c r="J1462" i="13" s="1"/>
  <c r="I1450" i="13"/>
  <c r="J1450" i="13" s="1"/>
  <c r="I1459" i="13"/>
  <c r="J1459" i="13" s="1"/>
  <c r="I1413" i="13"/>
  <c r="I1446" i="13"/>
  <c r="J1446" i="13" s="1"/>
  <c r="I1439" i="13"/>
  <c r="J1439" i="13" s="1"/>
  <c r="I1424" i="13"/>
  <c r="J1424" i="13" s="1"/>
  <c r="I1454" i="13"/>
  <c r="J1454" i="13" s="1"/>
  <c r="I1455" i="13"/>
  <c r="J1455" i="13" s="1"/>
  <c r="I1456" i="13"/>
  <c r="J1456" i="13" s="1"/>
  <c r="I1421" i="13"/>
  <c r="J1421" i="13" s="1"/>
  <c r="I1425" i="13"/>
  <c r="J1425" i="13" s="1"/>
  <c r="I1447" i="13"/>
  <c r="J1447" i="13" s="1"/>
  <c r="I1432" i="13"/>
  <c r="J1432" i="13" s="1"/>
  <c r="I1463" i="13"/>
  <c r="J1463" i="13" s="1"/>
  <c r="I1464" i="13"/>
  <c r="J1464" i="13" s="1"/>
  <c r="I1465" i="13"/>
  <c r="J1465" i="13" s="1"/>
  <c r="I1445" i="13"/>
  <c r="J1445" i="13" s="1"/>
  <c r="I1458" i="13"/>
  <c r="J1458" i="13" s="1"/>
  <c r="I1449" i="13"/>
  <c r="J1449" i="13" s="1"/>
  <c r="I1411" i="13"/>
  <c r="I1440" i="13"/>
  <c r="J1440" i="13" s="1"/>
  <c r="I1408" i="13"/>
  <c r="I1407" i="13"/>
  <c r="I1419" i="13"/>
  <c r="J1419" i="13" s="1"/>
  <c r="I1409" i="13"/>
  <c r="I1460" i="13"/>
  <c r="J1460" i="13" s="1"/>
  <c r="I1452" i="13"/>
  <c r="J1452" i="13" s="1"/>
  <c r="I1433" i="13"/>
  <c r="J1433" i="13" s="1"/>
  <c r="I1448" i="13"/>
  <c r="J1448" i="13" s="1"/>
  <c r="I1418" i="13"/>
  <c r="J1418" i="13" s="1"/>
  <c r="I1427" i="13"/>
  <c r="J1427" i="13" s="1"/>
  <c r="I1412" i="13"/>
  <c r="I1429" i="13"/>
  <c r="J1429" i="13" s="1"/>
  <c r="I1414" i="13"/>
  <c r="I1410" i="13"/>
  <c r="I1444" i="13"/>
  <c r="J1444" i="13" s="1"/>
  <c r="I1453" i="13"/>
  <c r="J1453" i="13" s="1"/>
  <c r="I1426" i="13"/>
  <c r="J1426" i="13" s="1"/>
  <c r="I1435" i="13"/>
  <c r="J1435" i="13" s="1"/>
  <c r="I1420" i="13"/>
  <c r="J1420" i="13" s="1"/>
  <c r="I1437" i="13"/>
  <c r="J1437" i="13" s="1"/>
  <c r="I1422" i="13"/>
  <c r="J1422" i="13" s="1"/>
  <c r="I1415" i="13"/>
  <c r="J1415" i="13" s="1"/>
  <c r="I1461" i="13"/>
  <c r="J1461" i="13" s="1"/>
  <c r="I1417" i="13"/>
  <c r="J1417" i="13" s="1"/>
  <c r="I1434" i="13"/>
  <c r="J1434" i="13" s="1"/>
  <c r="I1443" i="13"/>
  <c r="J1443" i="13" s="1"/>
  <c r="I1428" i="13"/>
  <c r="J1428" i="13" s="1"/>
  <c r="I1457" i="13"/>
  <c r="J1457" i="13" s="1"/>
  <c r="M1414" i="13"/>
  <c r="M1395" i="13"/>
  <c r="M1396" i="13" s="1"/>
  <c r="H1302" i="20"/>
  <c r="I1302" i="20" s="1"/>
  <c r="H2006" i="20"/>
  <c r="I2006" i="20" s="1"/>
  <c r="H1922" i="20"/>
  <c r="I1922" i="20" s="1"/>
  <c r="H1673" i="20"/>
  <c r="I1673" i="20" s="1"/>
  <c r="H1006" i="20"/>
  <c r="I1006" i="20" s="1"/>
  <c r="H1092" i="20"/>
  <c r="I1092" i="20" s="1"/>
  <c r="H1303" i="20"/>
  <c r="I1303" i="20" s="1"/>
  <c r="H1121" i="20"/>
  <c r="I1121" i="20" s="1"/>
  <c r="H134" i="20"/>
  <c r="I134" i="20" s="1"/>
  <c r="H1012" i="20"/>
  <c r="I1012" i="20" s="1"/>
  <c r="H317" i="20"/>
  <c r="I317" i="20" s="1"/>
  <c r="H1126" i="20"/>
  <c r="I1126" i="20" s="1"/>
  <c r="H1364" i="20"/>
  <c r="I1364" i="20" s="1"/>
  <c r="H305" i="20"/>
  <c r="I305" i="20" s="1"/>
  <c r="H419" i="20"/>
  <c r="I419" i="20" s="1"/>
  <c r="H1140" i="20"/>
  <c r="I1140" i="20" s="1"/>
  <c r="H591" i="20"/>
  <c r="I591" i="20" s="1"/>
  <c r="H1863" i="20"/>
  <c r="I1863" i="20" s="1"/>
  <c r="H964" i="20"/>
  <c r="I964" i="20" s="1"/>
  <c r="H1958" i="20"/>
  <c r="I1958" i="20" s="1"/>
  <c r="H1100" i="20"/>
  <c r="H1835" i="20"/>
  <c r="I1835" i="20" s="1"/>
  <c r="H1929" i="20"/>
  <c r="I1929" i="20" s="1"/>
  <c r="H1474" i="20"/>
  <c r="I1474" i="20" s="1"/>
  <c r="H477" i="20"/>
  <c r="I477" i="20" s="1"/>
  <c r="H476" i="20"/>
  <c r="I476" i="20" s="1"/>
  <c r="H292" i="20"/>
  <c r="I292" i="20" s="1"/>
  <c r="H824" i="20"/>
  <c r="I824" i="20" s="1"/>
  <c r="H1856" i="20"/>
  <c r="I1856" i="20" s="1"/>
  <c r="H1740" i="20"/>
  <c r="I1740" i="20" s="1"/>
  <c r="H568" i="20"/>
  <c r="I568" i="20" s="1"/>
  <c r="H1637" i="20"/>
  <c r="I1637" i="20" s="1"/>
  <c r="H828" i="20"/>
  <c r="I828" i="20" s="1"/>
  <c r="H1587" i="20"/>
  <c r="I1587" i="20" s="1"/>
  <c r="H691" i="20"/>
  <c r="I691" i="20" s="1"/>
  <c r="H1493" i="20"/>
  <c r="I1493" i="20" s="1"/>
  <c r="H1839" i="20"/>
  <c r="I1839" i="20" s="1"/>
  <c r="H603" i="20"/>
  <c r="I603" i="20" s="1"/>
  <c r="H328" i="20"/>
  <c r="I328" i="20" s="1"/>
  <c r="H225" i="20"/>
  <c r="I225" i="20" s="1"/>
  <c r="H283" i="20"/>
  <c r="I283" i="20" s="1"/>
  <c r="H1118" i="20"/>
  <c r="I1118" i="20" s="1"/>
  <c r="H1024" i="20"/>
  <c r="I1024" i="20" s="1"/>
  <c r="H1925" i="20"/>
  <c r="I1925" i="20" s="1"/>
  <c r="H1558" i="20"/>
  <c r="I1558" i="20" s="1"/>
  <c r="H380" i="20"/>
  <c r="I380" i="20" s="1"/>
  <c r="H324" i="20"/>
  <c r="I324" i="20" s="1"/>
  <c r="H1388" i="20"/>
  <c r="I1388" i="20" s="1"/>
  <c r="H209" i="20"/>
  <c r="I209" i="20" s="1"/>
  <c r="H117" i="20"/>
  <c r="I117" i="20" s="1"/>
  <c r="H1193" i="20"/>
  <c r="I1193" i="20" s="1"/>
  <c r="H1188" i="20"/>
  <c r="I1188" i="20" s="1"/>
  <c r="H1328" i="20"/>
  <c r="I1328" i="20" s="1"/>
  <c r="H1867" i="20"/>
  <c r="I1867" i="20" s="1"/>
  <c r="H685" i="20"/>
  <c r="I685" i="20" s="1"/>
  <c r="H1031" i="20"/>
  <c r="I1031" i="20" s="1"/>
  <c r="H1596" i="20"/>
  <c r="I1596" i="20" s="1"/>
  <c r="H922" i="20"/>
  <c r="I922" i="20" s="1"/>
  <c r="H1032" i="20"/>
  <c r="I1032" i="20" s="1"/>
  <c r="H765" i="20"/>
  <c r="I765" i="20" s="1"/>
  <c r="H1030" i="20"/>
  <c r="I1030" i="20" s="1"/>
  <c r="H2013" i="20"/>
  <c r="I2013" i="20" s="1"/>
  <c r="H1742" i="20"/>
  <c r="I1742" i="20" s="1"/>
  <c r="H839" i="20"/>
  <c r="I839" i="20" s="1"/>
  <c r="H1098" i="20"/>
  <c r="I1098" i="20" s="1"/>
  <c r="H696" i="20"/>
  <c r="I696" i="20" s="1"/>
  <c r="H1655" i="20"/>
  <c r="I1655" i="20" s="1"/>
  <c r="H394" i="20"/>
  <c r="I394" i="20" s="1"/>
  <c r="H115" i="20"/>
  <c r="I115" i="20" s="1"/>
  <c r="H654" i="20"/>
  <c r="I654" i="20" s="1"/>
  <c r="H1769" i="20"/>
  <c r="I1769" i="20" s="1"/>
  <c r="H697" i="20"/>
  <c r="I697" i="20" s="1"/>
  <c r="H471" i="20"/>
  <c r="H641" i="20"/>
  <c r="H284" i="20"/>
  <c r="I284" i="20" s="1"/>
  <c r="H927" i="20"/>
  <c r="I927" i="20" s="1"/>
  <c r="H943" i="20"/>
  <c r="I943" i="20" s="1"/>
  <c r="H402" i="20"/>
  <c r="I402" i="20" s="1"/>
  <c r="H156" i="20"/>
  <c r="I156" i="20" s="1"/>
  <c r="H1015" i="20"/>
  <c r="I1015" i="20" s="1"/>
  <c r="H878" i="20"/>
  <c r="I878" i="20" s="1"/>
  <c r="H1550" i="20"/>
  <c r="I1550" i="20" s="1"/>
  <c r="H1812" i="20"/>
  <c r="I1812" i="20" s="1"/>
  <c r="H1471" i="20"/>
  <c r="I1471" i="20" s="1"/>
  <c r="H1926" i="20"/>
  <c r="I1926" i="20" s="1"/>
  <c r="H507" i="20"/>
  <c r="I507" i="20" s="1"/>
  <c r="H1215" i="20"/>
  <c r="I1215" i="20" s="1"/>
  <c r="H607" i="20"/>
  <c r="I607" i="20" s="1"/>
  <c r="H234" i="20"/>
  <c r="I234" i="20" s="1"/>
  <c r="H585" i="20"/>
  <c r="I585" i="20" s="1"/>
  <c r="H687" i="20"/>
  <c r="I687" i="20" s="1"/>
  <c r="H1143" i="20"/>
  <c r="I1143" i="20" s="1"/>
  <c r="H398" i="20"/>
  <c r="I398" i="20" s="1"/>
  <c r="H599" i="20"/>
  <c r="I599" i="20" s="1"/>
  <c r="H745" i="20"/>
  <c r="I745" i="20" s="1"/>
  <c r="H1467" i="20"/>
  <c r="I1467" i="20" s="1"/>
  <c r="H1312" i="20"/>
  <c r="I1312" i="20" s="1"/>
  <c r="H108" i="20"/>
  <c r="I108" i="20" s="1"/>
  <c r="H1722" i="20"/>
  <c r="I1722" i="20" s="1"/>
  <c r="H1475" i="20"/>
  <c r="I1475" i="20" s="1"/>
  <c r="H1771" i="20"/>
  <c r="I1771" i="20" s="1"/>
  <c r="H1369" i="20"/>
  <c r="H109" i="20"/>
  <c r="I109" i="20" s="1"/>
  <c r="H763" i="20"/>
  <c r="I763" i="20" s="1"/>
  <c r="H1304" i="20"/>
  <c r="I1304" i="20" s="1"/>
  <c r="H675" i="20"/>
  <c r="I675" i="20" s="1"/>
  <c r="H2044" i="20"/>
  <c r="I2044" i="20" s="1"/>
  <c r="H238" i="20"/>
  <c r="I238" i="20" s="1"/>
  <c r="H1861" i="20"/>
  <c r="I1861" i="20" s="1"/>
  <c r="H137" i="20"/>
  <c r="I137" i="20" s="1"/>
  <c r="H690" i="20"/>
  <c r="I690" i="20" s="1"/>
  <c r="H1201" i="20"/>
  <c r="I1201" i="20" s="1"/>
  <c r="H395" i="20"/>
  <c r="I395" i="20" s="1"/>
  <c r="H1854" i="20"/>
  <c r="I1854" i="20" s="1"/>
  <c r="H1821" i="20"/>
  <c r="I1821" i="20" s="1"/>
  <c r="H1105" i="20"/>
  <c r="I1105" i="20" s="1"/>
  <c r="H952" i="20"/>
  <c r="I952" i="20" s="1"/>
  <c r="H1662" i="20"/>
  <c r="I1662" i="20" s="1"/>
  <c r="H1940" i="20"/>
  <c r="I1940" i="20" s="1"/>
  <c r="H567" i="20"/>
  <c r="I567" i="20" s="1"/>
  <c r="H1313" i="20"/>
  <c r="I1313" i="20" s="1"/>
  <c r="H1635" i="20"/>
  <c r="I1635" i="20" s="1"/>
  <c r="H1001" i="20"/>
  <c r="H1181" i="20"/>
  <c r="H196" i="20"/>
  <c r="I196" i="20" s="1"/>
  <c r="H289" i="20"/>
  <c r="I289" i="20" s="1"/>
  <c r="H647" i="20"/>
  <c r="I647" i="20" s="1"/>
  <c r="H1306" i="20"/>
  <c r="I1306" i="20" s="1"/>
  <c r="H843" i="20"/>
  <c r="I843" i="20" s="1"/>
  <c r="H303" i="20"/>
  <c r="I303" i="20" s="1"/>
  <c r="H1741" i="20"/>
  <c r="I1741" i="20" s="1"/>
  <c r="H194" i="20"/>
  <c r="I194" i="20" s="1"/>
  <c r="H1595" i="20"/>
  <c r="I1595" i="20" s="1"/>
  <c r="H1119" i="20"/>
  <c r="I1119" i="20" s="1"/>
  <c r="H665" i="20"/>
  <c r="I665" i="20" s="1"/>
  <c r="H1823" i="20"/>
  <c r="I1823" i="20" s="1"/>
  <c r="H1559" i="20"/>
  <c r="I1559" i="20" s="1"/>
  <c r="H319" i="20"/>
  <c r="I319" i="20" s="1"/>
  <c r="H1410" i="20"/>
  <c r="I1410" i="20" s="1"/>
  <c r="H1060" i="20"/>
  <c r="I1060" i="20" s="1"/>
  <c r="H1681" i="20"/>
  <c r="I1681" i="20" s="1"/>
  <c r="H1846" i="20"/>
  <c r="I1846" i="20" s="1"/>
  <c r="H1036" i="20"/>
  <c r="I1036" i="20" s="1"/>
  <c r="H1934" i="20"/>
  <c r="I1934" i="20" s="1"/>
  <c r="H840" i="20"/>
  <c r="I840" i="20" s="1"/>
  <c r="H1381" i="20"/>
  <c r="I1381" i="20" s="1"/>
  <c r="H643" i="20"/>
  <c r="I643" i="20" s="1"/>
  <c r="H559" i="20"/>
  <c r="I559" i="20" s="1"/>
  <c r="H918" i="20"/>
  <c r="I918" i="20" s="1"/>
  <c r="H397" i="20"/>
  <c r="I397" i="20" s="1"/>
  <c r="H1025" i="20"/>
  <c r="I1025" i="20" s="1"/>
  <c r="H421" i="20"/>
  <c r="I421" i="20" s="1"/>
  <c r="H1191" i="20"/>
  <c r="I1191" i="20" s="1"/>
  <c r="H1932" i="20"/>
  <c r="I1932" i="20" s="1"/>
  <c r="H104" i="20"/>
  <c r="I104" i="20" s="1"/>
  <c r="H1372" i="20"/>
  <c r="I1372" i="20" s="1"/>
  <c r="H569" i="20"/>
  <c r="I569" i="20" s="1"/>
  <c r="H1687" i="20"/>
  <c r="I1687" i="20" s="1"/>
  <c r="H1398" i="20"/>
  <c r="I1398" i="20" s="1"/>
  <c r="H2035" i="20"/>
  <c r="I2035" i="20" s="1"/>
  <c r="H237" i="20"/>
  <c r="I237" i="20" s="1"/>
  <c r="H1941" i="20"/>
  <c r="I1941" i="20" s="1"/>
  <c r="H107" i="20"/>
  <c r="I107" i="20" s="1"/>
  <c r="H837" i="20"/>
  <c r="I837" i="20" s="1"/>
  <c r="H1377" i="20"/>
  <c r="I1377" i="20" s="1"/>
  <c r="H208" i="20"/>
  <c r="I208" i="20" s="1"/>
  <c r="H102" i="20"/>
  <c r="I102" i="20" s="1"/>
  <c r="H1992" i="20"/>
  <c r="I1992" i="20" s="1"/>
  <c r="H1182" i="20"/>
  <c r="I1182" i="20" s="1"/>
  <c r="H1200" i="20"/>
  <c r="I1200" i="20" s="1"/>
  <c r="H1957" i="20"/>
  <c r="I1957" i="20" s="1"/>
  <c r="H1993" i="20"/>
  <c r="I1993" i="20" s="1"/>
  <c r="H733" i="20"/>
  <c r="I733" i="20" s="1"/>
  <c r="H849" i="20"/>
  <c r="I849" i="20" s="1"/>
  <c r="H131" i="20"/>
  <c r="I131" i="20" s="1"/>
  <c r="H204" i="20"/>
  <c r="I204" i="20" s="1"/>
  <c r="H1902" i="20"/>
  <c r="I1902" i="20" s="1"/>
  <c r="H123" i="20"/>
  <c r="I123" i="20" s="1"/>
  <c r="H1116" i="20"/>
  <c r="I1116" i="20" s="1"/>
  <c r="H482" i="20"/>
  <c r="I482" i="20" s="1"/>
  <c r="H383" i="20"/>
  <c r="I383" i="20" s="1"/>
  <c r="H1284" i="20"/>
  <c r="I1284" i="20" s="1"/>
  <c r="H1816" i="20"/>
  <c r="I1816" i="20" s="1"/>
  <c r="H374" i="20"/>
  <c r="I374" i="20" s="1"/>
  <c r="H597" i="20"/>
  <c r="I597" i="20" s="1"/>
  <c r="H1560" i="20"/>
  <c r="I1560" i="20" s="1"/>
  <c r="H1916" i="20"/>
  <c r="I1916" i="20" s="1"/>
  <c r="H1631" i="20"/>
  <c r="H1007" i="20"/>
  <c r="I1007" i="20" s="1"/>
  <c r="H860" i="20"/>
  <c r="I860" i="20" s="1"/>
  <c r="H151" i="20"/>
  <c r="I151" i="20" s="1"/>
  <c r="H1845" i="20"/>
  <c r="I1845" i="20" s="1"/>
  <c r="H1329" i="20"/>
  <c r="I1329" i="20" s="1"/>
  <c r="H158" i="20"/>
  <c r="I158" i="20" s="1"/>
  <c r="H2033" i="20"/>
  <c r="I2033" i="20" s="1"/>
  <c r="H1756" i="20"/>
  <c r="I1756" i="20" s="1"/>
  <c r="H192" i="20"/>
  <c r="I192" i="20" s="1"/>
  <c r="H1186" i="20"/>
  <c r="I1186" i="20" s="1"/>
  <c r="H1122" i="20"/>
  <c r="I1122" i="20" s="1"/>
  <c r="H1479" i="20"/>
  <c r="I1479" i="20" s="1"/>
  <c r="H1660" i="20"/>
  <c r="I1660" i="20" s="1"/>
  <c r="H1289" i="20"/>
  <c r="I1289" i="20" s="1"/>
  <c r="H1919" i="20"/>
  <c r="I1919" i="20" s="1"/>
  <c r="H861" i="20"/>
  <c r="I861" i="20" s="1"/>
  <c r="H1582" i="20"/>
  <c r="I1582" i="20" s="1"/>
  <c r="H572" i="20"/>
  <c r="I572" i="20" s="1"/>
  <c r="H1294" i="20"/>
  <c r="I1294" i="20" s="1"/>
  <c r="H663" i="20"/>
  <c r="I663" i="20" s="1"/>
  <c r="H1282" i="20"/>
  <c r="I1282" i="20" s="1"/>
  <c r="H875" i="20"/>
  <c r="I875" i="20" s="1"/>
  <c r="H1401" i="20"/>
  <c r="I1401" i="20" s="1"/>
  <c r="H1935" i="20"/>
  <c r="I1935" i="20" s="1"/>
  <c r="H1685" i="20"/>
  <c r="I1685" i="20" s="1"/>
  <c r="H1763" i="20"/>
  <c r="I1763" i="20" s="1"/>
  <c r="H928" i="20"/>
  <c r="I928" i="20" s="1"/>
  <c r="H736" i="20"/>
  <c r="I736" i="20" s="1"/>
  <c r="H1003" i="20"/>
  <c r="I1003" i="20" s="1"/>
  <c r="H291" i="20"/>
  <c r="H128" i="20"/>
  <c r="I128" i="20" s="1"/>
  <c r="H1206" i="20"/>
  <c r="I1206" i="20" s="1"/>
  <c r="H848" i="20"/>
  <c r="I848" i="20" s="1"/>
  <c r="H1643" i="20"/>
  <c r="I1643" i="20" s="1"/>
  <c r="H1148" i="20"/>
  <c r="I1148" i="20" s="1"/>
  <c r="H1661" i="20"/>
  <c r="I1661" i="20" s="1"/>
  <c r="H581" i="20"/>
  <c r="I581" i="20" s="1"/>
  <c r="H1649" i="20"/>
  <c r="I1649" i="20" s="1"/>
  <c r="H751" i="20"/>
  <c r="I751" i="20" s="1"/>
  <c r="H1287" i="20"/>
  <c r="I1287" i="20" s="1"/>
  <c r="H1746" i="20"/>
  <c r="I1746" i="20" s="1"/>
  <c r="H686" i="20"/>
  <c r="I686" i="20" s="1"/>
  <c r="H1011" i="20"/>
  <c r="H744" i="20"/>
  <c r="I744" i="20" s="1"/>
  <c r="H1309" i="20"/>
  <c r="I1309" i="20" s="1"/>
  <c r="H1541" i="20"/>
  <c r="H1753" i="20"/>
  <c r="I1753" i="20" s="1"/>
  <c r="H122" i="20"/>
  <c r="I122" i="20" s="1"/>
  <c r="H506" i="20"/>
  <c r="I506" i="20" s="1"/>
  <c r="H461" i="20"/>
  <c r="H1999" i="20"/>
  <c r="I1999" i="20" s="1"/>
  <c r="H762" i="20"/>
  <c r="I762" i="20" s="1"/>
  <c r="H1028" i="20"/>
  <c r="I1028" i="20" s="1"/>
  <c r="H1397" i="20"/>
  <c r="I1397" i="20" s="1"/>
  <c r="H510" i="20"/>
  <c r="I510" i="20" s="1"/>
  <c r="H145" i="20"/>
  <c r="I145" i="20" s="1"/>
  <c r="H786" i="20"/>
  <c r="I786" i="20" s="1"/>
  <c r="H1960" i="20"/>
  <c r="I1960" i="20" s="1"/>
  <c r="H1501" i="20"/>
  <c r="I1501" i="20" s="1"/>
  <c r="H1671" i="20"/>
  <c r="I1671" i="20" s="1"/>
  <c r="H221" i="20"/>
  <c r="I221" i="20" s="1"/>
  <c r="H491" i="20"/>
  <c r="I491" i="20" s="1"/>
  <c r="H1385" i="20"/>
  <c r="I1385" i="20" s="1"/>
  <c r="H302" i="20"/>
  <c r="I302" i="20" s="1"/>
  <c r="H658" i="20"/>
  <c r="I658" i="20" s="1"/>
  <c r="H2001" i="20"/>
  <c r="I2001" i="20" s="1"/>
  <c r="H199" i="20"/>
  <c r="I199" i="20" s="1"/>
  <c r="H500" i="20"/>
  <c r="I500" i="20" s="1"/>
  <c r="H753" i="20"/>
  <c r="I753" i="20" s="1"/>
  <c r="H206" i="20"/>
  <c r="I206" i="20" s="1"/>
  <c r="H1644" i="20"/>
  <c r="I1644" i="20" s="1"/>
  <c r="H1913" i="20"/>
  <c r="I1913" i="20" s="1"/>
  <c r="H462" i="20"/>
  <c r="I462" i="20" s="1"/>
  <c r="H1683" i="20"/>
  <c r="I1683" i="20" s="1"/>
  <c r="H427" i="20"/>
  <c r="I427" i="20" s="1"/>
  <c r="H1943" i="20"/>
  <c r="I1943" i="20" s="1"/>
  <c r="H1866" i="20"/>
  <c r="I1866" i="20" s="1"/>
  <c r="H148" i="20"/>
  <c r="I148" i="20" s="1"/>
  <c r="H103" i="20"/>
  <c r="I103" i="20" s="1"/>
  <c r="H945" i="20"/>
  <c r="I945" i="20" s="1"/>
  <c r="H1478" i="20"/>
  <c r="I1478" i="20" s="1"/>
  <c r="H1749" i="20"/>
  <c r="I1749" i="20" s="1"/>
  <c r="H301" i="20"/>
  <c r="I301" i="20" s="1"/>
  <c r="H1197" i="20"/>
  <c r="I1197" i="20" s="1"/>
  <c r="H1915" i="20"/>
  <c r="I1915" i="20" s="1"/>
  <c r="H920" i="20"/>
  <c r="H692" i="20"/>
  <c r="I692" i="20" s="1"/>
  <c r="H1292" i="20"/>
  <c r="I1292" i="20" s="1"/>
  <c r="H211" i="20"/>
  <c r="I211" i="20" s="1"/>
  <c r="H742" i="20"/>
  <c r="I742" i="20" s="1"/>
  <c r="H472" i="20"/>
  <c r="I472" i="20" s="1"/>
  <c r="H919" i="20"/>
  <c r="I919" i="20" s="1"/>
  <c r="H207" i="20"/>
  <c r="I207" i="20" s="1"/>
  <c r="H386" i="20"/>
  <c r="I386" i="20" s="1"/>
  <c r="H193" i="20"/>
  <c r="I193" i="20" s="1"/>
  <c r="H831" i="20"/>
  <c r="I831" i="20" s="1"/>
  <c r="H198" i="20"/>
  <c r="I198" i="20" s="1"/>
  <c r="H1653" i="20"/>
  <c r="I1653" i="20" s="1"/>
  <c r="H1022" i="20"/>
  <c r="I1022" i="20" s="1"/>
  <c r="H868" i="20"/>
  <c r="I868" i="20" s="1"/>
  <c r="H1730" i="20"/>
  <c r="I1730" i="20" s="1"/>
  <c r="H217" i="20"/>
  <c r="I217" i="20" s="1"/>
  <c r="H1207" i="20"/>
  <c r="I1207" i="20" s="1"/>
  <c r="H601" i="20"/>
  <c r="I601" i="20" s="1"/>
  <c r="H1736" i="20"/>
  <c r="I1736" i="20" s="1"/>
  <c r="H1780" i="20"/>
  <c r="I1780" i="20" s="1"/>
  <c r="H248" i="20"/>
  <c r="I248" i="20" s="1"/>
  <c r="H1944" i="20"/>
  <c r="I1944" i="20" s="1"/>
  <c r="H1588" i="20"/>
  <c r="I1588" i="20" s="1"/>
  <c r="H497" i="20"/>
  <c r="I497" i="20" s="1"/>
  <c r="H1948" i="20"/>
  <c r="I1948" i="20" s="1"/>
  <c r="H1852" i="20"/>
  <c r="I1852" i="20" s="1"/>
  <c r="H1198" i="20"/>
  <c r="I1198" i="20" s="1"/>
  <c r="H1114" i="20"/>
  <c r="I1114" i="20" s="1"/>
  <c r="H1590" i="20"/>
  <c r="I1590" i="20" s="1"/>
  <c r="H830" i="20"/>
  <c r="H1281" i="20"/>
  <c r="I1281" i="20" s="1"/>
  <c r="H316" i="20"/>
  <c r="I316" i="20" s="1"/>
  <c r="H220" i="20"/>
  <c r="I220" i="20" s="1"/>
  <c r="H674" i="20"/>
  <c r="I674" i="20" s="1"/>
  <c r="H384" i="20"/>
  <c r="I384" i="20" s="1"/>
  <c r="H1939" i="20"/>
  <c r="I1939" i="20" s="1"/>
  <c r="H646" i="20"/>
  <c r="I646" i="20" s="1"/>
  <c r="H1634" i="20"/>
  <c r="I1634" i="20" s="1"/>
  <c r="H488" i="20"/>
  <c r="I488" i="20" s="1"/>
  <c r="H152" i="20"/>
  <c r="I152" i="20" s="1"/>
  <c r="H1231" i="20"/>
  <c r="I1231" i="20" s="1"/>
  <c r="H1499" i="20"/>
  <c r="I1499" i="20" s="1"/>
  <c r="H496" i="20"/>
  <c r="I496" i="20" s="1"/>
  <c r="H513" i="20"/>
  <c r="I513" i="20" s="1"/>
  <c r="H1392" i="20"/>
  <c r="I1392" i="20" s="1"/>
  <c r="H1953" i="20"/>
  <c r="I1953" i="20" s="1"/>
  <c r="H656" i="20"/>
  <c r="I656" i="20" s="1"/>
  <c r="H1828" i="20"/>
  <c r="I1828" i="20" s="1"/>
  <c r="H1494" i="20"/>
  <c r="I1494" i="20" s="1"/>
  <c r="H1545" i="20"/>
  <c r="I1545" i="20" s="1"/>
  <c r="H1819" i="20"/>
  <c r="H130" i="20"/>
  <c r="I130" i="20" s="1"/>
  <c r="H424" i="20"/>
  <c r="I424" i="20" s="1"/>
  <c r="H1552" i="20"/>
  <c r="I1552" i="20" s="1"/>
  <c r="H741" i="20"/>
  <c r="I741" i="20" s="1"/>
  <c r="H1936" i="20"/>
  <c r="I1936" i="20" s="1"/>
  <c r="H1019" i="20"/>
  <c r="I1019" i="20" s="1"/>
  <c r="H1903" i="20"/>
  <c r="I1903" i="20" s="1"/>
  <c r="H105" i="20"/>
  <c r="I105" i="20" s="1"/>
  <c r="H1205" i="20"/>
  <c r="I1205" i="20" s="1"/>
  <c r="H1389" i="20"/>
  <c r="I1389" i="20" s="1"/>
  <c r="H760" i="20"/>
  <c r="I760" i="20" s="1"/>
  <c r="H931" i="20"/>
  <c r="I931" i="20" s="1"/>
  <c r="H1106" i="20"/>
  <c r="I1106" i="20" s="1"/>
  <c r="H769" i="20"/>
  <c r="I769" i="20" s="1"/>
  <c r="H1578" i="20"/>
  <c r="I1578" i="20" s="1"/>
  <c r="H1111" i="20"/>
  <c r="I1111" i="20" s="1"/>
  <c r="H391" i="20"/>
  <c r="I391" i="20" s="1"/>
  <c r="H1924" i="20"/>
  <c r="I1924" i="20" s="1"/>
  <c r="H1189" i="20"/>
  <c r="I1189" i="20" s="1"/>
  <c r="H1415" i="20"/>
  <c r="I1415" i="20" s="1"/>
  <c r="H856" i="20"/>
  <c r="I856" i="20" s="1"/>
  <c r="H608" i="20"/>
  <c r="I608" i="20" s="1"/>
  <c r="H1142" i="20"/>
  <c r="I1142" i="20" s="1"/>
  <c r="H1310" i="20"/>
  <c r="I1310" i="20" s="1"/>
  <c r="H694" i="20"/>
  <c r="I694" i="20" s="1"/>
  <c r="H1640" i="20"/>
  <c r="I1640" i="20" s="1"/>
  <c r="H562" i="20"/>
  <c r="I562" i="20" s="1"/>
  <c r="H743" i="20"/>
  <c r="I743" i="20" s="1"/>
  <c r="H2003" i="20"/>
  <c r="I2003" i="20" s="1"/>
  <c r="H739" i="20"/>
  <c r="I739" i="20" s="1"/>
  <c r="H1183" i="20"/>
  <c r="I1183" i="20" s="1"/>
  <c r="H1271" i="20"/>
  <c r="H1562" i="20"/>
  <c r="I1562" i="20" s="1"/>
  <c r="H514" i="20"/>
  <c r="I514" i="20" s="1"/>
  <c r="H553" i="20"/>
  <c r="I553" i="20" s="1"/>
  <c r="H1543" i="20"/>
  <c r="I1543" i="20" s="1"/>
  <c r="H1654" i="20"/>
  <c r="I1654" i="20" s="1"/>
  <c r="H1026" i="20"/>
  <c r="I1026" i="20" s="1"/>
  <c r="H1772" i="20"/>
  <c r="I1772" i="20" s="1"/>
  <c r="H1492" i="20"/>
  <c r="I1492" i="20" s="1"/>
  <c r="H1665" i="20"/>
  <c r="I1665" i="20" s="1"/>
  <c r="H962" i="20"/>
  <c r="I962" i="20" s="1"/>
  <c r="H1847" i="20"/>
  <c r="I1847" i="20" s="1"/>
  <c r="H423" i="20"/>
  <c r="I423" i="20" s="1"/>
  <c r="H660" i="20"/>
  <c r="I660" i="20" s="1"/>
  <c r="H393" i="20"/>
  <c r="I393" i="20" s="1"/>
  <c r="H1459" i="20"/>
  <c r="H1093" i="20"/>
  <c r="I1093" i="20" s="1"/>
  <c r="H833" i="20"/>
  <c r="I833" i="20" s="1"/>
  <c r="H1837" i="20"/>
  <c r="I1837" i="20" s="1"/>
  <c r="H667" i="20"/>
  <c r="I667" i="20" s="1"/>
  <c r="H785" i="20"/>
  <c r="I785" i="20" s="1"/>
  <c r="H930" i="20"/>
  <c r="I930" i="20" s="1"/>
  <c r="H378" i="20"/>
  <c r="I378" i="20" s="1"/>
  <c r="H1371" i="20"/>
  <c r="I1371" i="20" s="1"/>
  <c r="H558" i="20"/>
  <c r="I558" i="20" s="1"/>
  <c r="H121" i="20"/>
  <c r="I121" i="20" s="1"/>
  <c r="H314" i="20"/>
  <c r="I314" i="20" s="1"/>
  <c r="H411" i="20"/>
  <c r="I411" i="20" s="1"/>
  <c r="H1502" i="20"/>
  <c r="I1502" i="20" s="1"/>
  <c r="H1051" i="20"/>
  <c r="I1051" i="20" s="1"/>
  <c r="H682" i="20"/>
  <c r="I682" i="20" s="1"/>
  <c r="H1566" i="20"/>
  <c r="I1566" i="20" s="1"/>
  <c r="H1195" i="20"/>
  <c r="I1195" i="20" s="1"/>
  <c r="H1469" i="20"/>
  <c r="I1469" i="20" s="1"/>
  <c r="H1382" i="20"/>
  <c r="I1382" i="20" s="1"/>
  <c r="H1996" i="20"/>
  <c r="I1996" i="20" s="1"/>
  <c r="H917" i="20"/>
  <c r="I917" i="20" s="1"/>
  <c r="H1101" i="20"/>
  <c r="I1101" i="20" s="1"/>
  <c r="H1832" i="20"/>
  <c r="I1832" i="20" s="1"/>
  <c r="H1842" i="20"/>
  <c r="I1842" i="20" s="1"/>
  <c r="H1190" i="20"/>
  <c r="H1283" i="20"/>
  <c r="I1283" i="20" s="1"/>
  <c r="H1659" i="20"/>
  <c r="I1659" i="20" s="1"/>
  <c r="H826" i="20"/>
  <c r="I826" i="20" s="1"/>
  <c r="H247" i="20"/>
  <c r="I247" i="20" s="1"/>
  <c r="H329" i="20"/>
  <c r="I329" i="20" s="1"/>
  <c r="H281" i="20"/>
  <c r="H944" i="20"/>
  <c r="I944" i="20" s="1"/>
  <c r="H2017" i="20"/>
  <c r="I2017" i="20" s="1"/>
  <c r="H841" i="20"/>
  <c r="I841" i="20" s="1"/>
  <c r="H300" i="20"/>
  <c r="I300" i="20" s="1"/>
  <c r="H298" i="20"/>
  <c r="I298" i="20" s="1"/>
  <c r="H1546" i="20"/>
  <c r="I1546" i="20" s="1"/>
  <c r="H1097" i="20"/>
  <c r="I1097" i="20" s="1"/>
  <c r="H1844" i="20"/>
  <c r="I1844" i="20" s="1"/>
  <c r="H1199" i="20"/>
  <c r="I1199" i="20" s="1"/>
  <c r="H1732" i="20"/>
  <c r="I1732" i="20" s="1"/>
  <c r="H561" i="20"/>
  <c r="H827" i="20"/>
  <c r="I827" i="20" s="1"/>
  <c r="H111" i="20"/>
  <c r="I111" i="20" s="1"/>
  <c r="H1050" i="20"/>
  <c r="I1050" i="20" s="1"/>
  <c r="H880" i="20"/>
  <c r="I880" i="20" s="1"/>
  <c r="H229" i="20"/>
  <c r="I229" i="20" s="1"/>
  <c r="H2045" i="20"/>
  <c r="I2045" i="20" s="1"/>
  <c r="H1316" i="20"/>
  <c r="I1316" i="20" s="1"/>
  <c r="H855" i="20"/>
  <c r="I855" i="20" s="1"/>
  <c r="H1273" i="20"/>
  <c r="I1273" i="20" s="1"/>
  <c r="H1091" i="20"/>
  <c r="H642" i="20"/>
  <c r="I642" i="20" s="1"/>
  <c r="H200" i="20"/>
  <c r="I200" i="20" s="1"/>
  <c r="H1117" i="20"/>
  <c r="I1117" i="20" s="1"/>
  <c r="H756" i="20"/>
  <c r="I756" i="20" s="1"/>
  <c r="H214" i="20"/>
  <c r="I214" i="20" s="1"/>
  <c r="H1278" i="20"/>
  <c r="H1597" i="20"/>
  <c r="I1597" i="20" s="1"/>
  <c r="H310" i="20"/>
  <c r="I310" i="20" s="1"/>
  <c r="H1576" i="20"/>
  <c r="I1576" i="20" s="1"/>
  <c r="H1826" i="20"/>
  <c r="I1826" i="20" s="1"/>
  <c r="H1739" i="20"/>
  <c r="I1739" i="20" s="1"/>
  <c r="H1491" i="20"/>
  <c r="I1491" i="20" s="1"/>
  <c r="H872" i="20"/>
  <c r="I872" i="20" s="1"/>
  <c r="H1308" i="20"/>
  <c r="I1308" i="20" s="1"/>
  <c r="H1145" i="20"/>
  <c r="I1145" i="20" s="1"/>
  <c r="H590" i="20"/>
  <c r="I590" i="20" s="1"/>
  <c r="H2029" i="20"/>
  <c r="I2029" i="20" s="1"/>
  <c r="H382" i="20"/>
  <c r="I382" i="20" s="1"/>
  <c r="H1998" i="20"/>
  <c r="I1998" i="20" s="1"/>
  <c r="H1004" i="20"/>
  <c r="I1004" i="20" s="1"/>
  <c r="H822" i="20"/>
  <c r="I822" i="20" s="1"/>
  <c r="H950" i="20"/>
  <c r="I950" i="20" s="1"/>
  <c r="H752" i="20"/>
  <c r="I752" i="20" s="1"/>
  <c r="H1564" i="20"/>
  <c r="I1564" i="20" s="1"/>
  <c r="H680" i="20"/>
  <c r="I680" i="20" s="1"/>
  <c r="H1638" i="20"/>
  <c r="I1638" i="20" s="1"/>
  <c r="H664" i="20"/>
  <c r="I664" i="20" s="1"/>
  <c r="H2016" i="20"/>
  <c r="I2016" i="20" s="1"/>
  <c r="H577" i="20"/>
  <c r="I577" i="20" s="1"/>
  <c r="H490" i="20"/>
  <c r="I490" i="20" s="1"/>
  <c r="H155" i="20"/>
  <c r="I155" i="20" s="1"/>
  <c r="H689" i="20"/>
  <c r="I689" i="20" s="1"/>
  <c r="H1489" i="20"/>
  <c r="I1489" i="20" s="1"/>
  <c r="H1589" i="20"/>
  <c r="I1589" i="20" s="1"/>
  <c r="H1204" i="20"/>
  <c r="I1204" i="20" s="1"/>
  <c r="H2010" i="20"/>
  <c r="I2010" i="20" s="1"/>
  <c r="H468" i="20"/>
  <c r="I468" i="20" s="1"/>
  <c r="H1918" i="20"/>
  <c r="I1918" i="20" s="1"/>
  <c r="H1456" i="20"/>
  <c r="I1456" i="20" s="1"/>
  <c r="H959" i="20"/>
  <c r="I959" i="20" s="1"/>
  <c r="H2011" i="20"/>
  <c r="I2011" i="20" s="1"/>
  <c r="H1645" i="20"/>
  <c r="I1645" i="20" s="1"/>
  <c r="H1752" i="20"/>
  <c r="I1752" i="20" s="1"/>
  <c r="H1394" i="20"/>
  <c r="I1394" i="20" s="1"/>
  <c r="H1759" i="20"/>
  <c r="I1759" i="20" s="1"/>
  <c r="H1457" i="20"/>
  <c r="I1457" i="20" s="1"/>
  <c r="H1009" i="20"/>
  <c r="I1009" i="20" s="1"/>
  <c r="H1652" i="20"/>
  <c r="I1652" i="20" s="1"/>
  <c r="H1387" i="20"/>
  <c r="I1387" i="20" s="1"/>
  <c r="H1139" i="20"/>
  <c r="I1139" i="20" s="1"/>
  <c r="H1463" i="20"/>
  <c r="I1463" i="20" s="1"/>
  <c r="H1462" i="20"/>
  <c r="I1462" i="20" s="1"/>
  <c r="H1581" i="20"/>
  <c r="I1581" i="20" s="1"/>
  <c r="H790" i="20"/>
  <c r="I790" i="20" s="1"/>
  <c r="H1917" i="20"/>
  <c r="I1917" i="20" s="1"/>
  <c r="H1018" i="20"/>
  <c r="I1018" i="20" s="1"/>
  <c r="H679" i="20"/>
  <c r="I679" i="20" s="1"/>
  <c r="H1814" i="20"/>
  <c r="I1814" i="20" s="1"/>
  <c r="H960" i="20"/>
  <c r="I960" i="20" s="1"/>
  <c r="H1219" i="20"/>
  <c r="I1219" i="20" s="1"/>
  <c r="H1238" i="20"/>
  <c r="I1238" i="20" s="1"/>
  <c r="H876" i="20"/>
  <c r="I876" i="20" s="1"/>
  <c r="H1770" i="20"/>
  <c r="I1770" i="20" s="1"/>
  <c r="H2012" i="20"/>
  <c r="I2012" i="20" s="1"/>
  <c r="H1108" i="20"/>
  <c r="I1108" i="20" s="1"/>
  <c r="H564" i="20"/>
  <c r="I564" i="20" s="1"/>
  <c r="H295" i="20"/>
  <c r="I295" i="20" s="1"/>
  <c r="H1542" i="20"/>
  <c r="I1542" i="20" s="1"/>
  <c r="H1904" i="20"/>
  <c r="I1904" i="20" s="1"/>
  <c r="H1307" i="20"/>
  <c r="I1307" i="20" s="1"/>
  <c r="H213" i="20"/>
  <c r="I213" i="20" s="1"/>
  <c r="H1490" i="20"/>
  <c r="I1490" i="20" s="1"/>
  <c r="H1636" i="20"/>
  <c r="I1636" i="20" s="1"/>
  <c r="H110" i="20"/>
  <c r="I110" i="20" s="1"/>
  <c r="H1658" i="20"/>
  <c r="I1658" i="20" s="1"/>
  <c r="H401" i="20"/>
  <c r="I401" i="20" s="1"/>
  <c r="H2042" i="20"/>
  <c r="I2042" i="20" s="1"/>
  <c r="H320" i="20"/>
  <c r="I320" i="20" s="1"/>
  <c r="H784" i="20"/>
  <c r="I784" i="20" s="1"/>
  <c r="H560" i="20"/>
  <c r="I560" i="20" s="1"/>
  <c r="H2000" i="20"/>
  <c r="I2000" i="20" s="1"/>
  <c r="H1203" i="20"/>
  <c r="I1203" i="20" s="1"/>
  <c r="H215" i="20"/>
  <c r="I215" i="20" s="1"/>
  <c r="H575" i="20"/>
  <c r="I575" i="20" s="1"/>
  <c r="H1642" i="20"/>
  <c r="I1642" i="20" s="1"/>
  <c r="H202" i="20"/>
  <c r="I202" i="20" s="1"/>
  <c r="H1212" i="20"/>
  <c r="I1212" i="20" s="1"/>
  <c r="H761" i="20"/>
  <c r="I761" i="20" s="1"/>
  <c r="H1017" i="20"/>
  <c r="I1017" i="20" s="1"/>
  <c r="H1920" i="20"/>
  <c r="I1920" i="20" s="1"/>
  <c r="H478" i="20"/>
  <c r="I478" i="20" s="1"/>
  <c r="H1187" i="20"/>
  <c r="I1187" i="20" s="1"/>
  <c r="H870" i="20"/>
  <c r="I870" i="20" s="1"/>
  <c r="H1865" i="20"/>
  <c r="I1865" i="20" s="1"/>
  <c r="H787" i="20"/>
  <c r="I787" i="20" s="1"/>
  <c r="H596" i="20"/>
  <c r="I596" i="20" s="1"/>
  <c r="H493" i="20"/>
  <c r="I493" i="20" s="1"/>
  <c r="H1300" i="20"/>
  <c r="I1300" i="20" s="1"/>
  <c r="H573" i="20"/>
  <c r="I573" i="20" s="1"/>
  <c r="H1320" i="20"/>
  <c r="I1320" i="20" s="1"/>
  <c r="H770" i="20"/>
  <c r="I770" i="20" s="1"/>
  <c r="H955" i="20"/>
  <c r="I955" i="20" s="1"/>
  <c r="H957" i="20"/>
  <c r="I957" i="20" s="1"/>
  <c r="H1831" i="20"/>
  <c r="I1831" i="20" s="1"/>
  <c r="H821" i="20"/>
  <c r="H1779" i="20"/>
  <c r="I1779" i="20" s="1"/>
  <c r="H1041" i="20"/>
  <c r="I1041" i="20" s="1"/>
  <c r="H1149" i="20"/>
  <c r="I1149" i="20" s="1"/>
  <c r="H113" i="20"/>
  <c r="I113" i="20" s="1"/>
  <c r="H195" i="20"/>
  <c r="I195" i="20" s="1"/>
  <c r="H1666" i="20"/>
  <c r="I1666" i="20" s="1"/>
  <c r="H963" i="20"/>
  <c r="I963" i="20" s="1"/>
  <c r="H1057" i="20"/>
  <c r="I1057" i="20" s="1"/>
  <c r="H1758" i="20"/>
  <c r="I1758" i="20" s="1"/>
  <c r="H489" i="20"/>
  <c r="I489" i="20" s="1"/>
  <c r="H135" i="20"/>
  <c r="I135" i="20" s="1"/>
  <c r="H1949" i="20"/>
  <c r="I1949" i="20" s="1"/>
  <c r="H1144" i="20"/>
  <c r="I1144" i="20" s="1"/>
  <c r="H552" i="20"/>
  <c r="I552" i="20" s="1"/>
  <c r="H1575" i="20"/>
  <c r="I1575" i="20" s="1"/>
  <c r="H1035" i="20"/>
  <c r="I1035" i="20" s="1"/>
  <c r="H1305" i="20"/>
  <c r="I1305" i="20" s="1"/>
  <c r="H409" i="20"/>
  <c r="I409" i="20" s="1"/>
  <c r="H388" i="20"/>
  <c r="I388" i="20" s="1"/>
  <c r="H385" i="20"/>
  <c r="I385" i="20" s="1"/>
  <c r="H1909" i="20"/>
  <c r="I1909" i="20" s="1"/>
  <c r="H2032" i="20"/>
  <c r="I2032" i="20" s="1"/>
  <c r="H1235" i="20"/>
  <c r="I1235" i="20" s="1"/>
  <c r="H864" i="20"/>
  <c r="I864" i="20" s="1"/>
  <c r="H672" i="20"/>
  <c r="I672" i="20" s="1"/>
  <c r="H1767" i="20"/>
  <c r="I1767" i="20" s="1"/>
  <c r="H923" i="20"/>
  <c r="I923" i="20" s="1"/>
  <c r="H1005" i="20"/>
  <c r="I1005" i="20" s="1"/>
  <c r="H241" i="20"/>
  <c r="I241" i="20" s="1"/>
  <c r="H695" i="20"/>
  <c r="I695" i="20" s="1"/>
  <c r="H326" i="20"/>
  <c r="I326" i="20" s="1"/>
  <c r="H1043" i="20"/>
  <c r="I1043" i="20" s="1"/>
  <c r="H1227" i="20"/>
  <c r="I1227" i="20" s="1"/>
  <c r="H1053" i="20"/>
  <c r="I1053" i="20" s="1"/>
  <c r="H337" i="20"/>
  <c r="I337" i="20" s="1"/>
  <c r="H1216" i="20"/>
  <c r="I1216" i="20" s="1"/>
  <c r="H235" i="20"/>
  <c r="I235" i="20" s="1"/>
  <c r="H154" i="20"/>
  <c r="I154" i="20" s="1"/>
  <c r="H282" i="20"/>
  <c r="I282" i="20" s="1"/>
  <c r="H2002" i="20"/>
  <c r="I2002" i="20" s="1"/>
  <c r="H1476" i="20"/>
  <c r="I1476" i="20" s="1"/>
  <c r="H132" i="20"/>
  <c r="I132" i="20" s="1"/>
  <c r="H947" i="20"/>
  <c r="I947" i="20" s="1"/>
  <c r="H1591" i="20"/>
  <c r="I1591" i="20" s="1"/>
  <c r="H556" i="20"/>
  <c r="I556" i="20" s="1"/>
  <c r="H463" i="20"/>
  <c r="I463" i="20" s="1"/>
  <c r="H1738" i="20"/>
  <c r="I1738" i="20" s="1"/>
  <c r="H1677" i="20"/>
  <c r="I1677" i="20" s="1"/>
  <c r="H233" i="20"/>
  <c r="I233" i="20" s="1"/>
  <c r="H1572" i="20"/>
  <c r="I1572" i="20" s="1"/>
  <c r="H666" i="20"/>
  <c r="I666" i="20" s="1"/>
  <c r="H1466" i="20"/>
  <c r="I1466" i="20" s="1"/>
  <c r="H747" i="20"/>
  <c r="I747" i="20" s="1"/>
  <c r="H566" i="20"/>
  <c r="I566" i="20" s="1"/>
  <c r="H913" i="20"/>
  <c r="I913" i="20" s="1"/>
  <c r="H735" i="20"/>
  <c r="I735" i="20" s="1"/>
  <c r="H1688" i="20"/>
  <c r="I1688" i="20" s="1"/>
  <c r="H1829" i="20"/>
  <c r="I1829" i="20" s="1"/>
  <c r="H555" i="20"/>
  <c r="I555" i="20" s="1"/>
  <c r="H1008" i="20"/>
  <c r="I1008" i="20" s="1"/>
  <c r="H290" i="20"/>
  <c r="I290" i="20" s="1"/>
  <c r="H1477" i="20"/>
  <c r="I1477" i="20" s="1"/>
  <c r="H1130" i="20"/>
  <c r="I1130" i="20" s="1"/>
  <c r="H1678" i="20"/>
  <c r="I1678" i="20" s="1"/>
  <c r="H335" i="20"/>
  <c r="I335" i="20" s="1"/>
  <c r="H1127" i="20"/>
  <c r="I1127" i="20" s="1"/>
  <c r="H1774" i="20"/>
  <c r="I1774" i="20" s="1"/>
  <c r="H297" i="20"/>
  <c r="I297" i="20" s="1"/>
  <c r="H321" i="20"/>
  <c r="I321" i="20" s="1"/>
  <c r="H376" i="20"/>
  <c r="I376" i="20" s="1"/>
  <c r="H201" i="20"/>
  <c r="I201" i="20" s="1"/>
  <c r="H1930" i="20"/>
  <c r="I1930" i="20" s="1"/>
  <c r="H942" i="20"/>
  <c r="I942" i="20" s="1"/>
  <c r="H844" i="20"/>
  <c r="I844" i="20" s="1"/>
  <c r="H1734" i="20"/>
  <c r="I1734" i="20" s="1"/>
  <c r="H1667" i="20"/>
  <c r="I1667" i="20" s="1"/>
  <c r="H1209" i="20"/>
  <c r="I1209" i="20" s="1"/>
  <c r="H1391" i="20"/>
  <c r="I1391" i="20" s="1"/>
  <c r="H481" i="20"/>
  <c r="I481" i="20" s="1"/>
  <c r="H1470" i="20"/>
  <c r="I1470" i="20" s="1"/>
  <c r="H968" i="20"/>
  <c r="I968" i="20" s="1"/>
  <c r="H1488" i="20"/>
  <c r="I1488" i="20" s="1"/>
  <c r="H338" i="20"/>
  <c r="I338" i="20" s="1"/>
  <c r="H1834" i="20"/>
  <c r="I1834" i="20" s="1"/>
  <c r="H1927" i="20"/>
  <c r="I1927" i="20" s="1"/>
  <c r="H1825" i="20"/>
  <c r="I1825" i="20" s="1"/>
  <c r="H655" i="20"/>
  <c r="I655" i="20" s="1"/>
  <c r="H563" i="20"/>
  <c r="I563" i="20" s="1"/>
  <c r="H1363" i="20"/>
  <c r="I1363" i="20" s="1"/>
  <c r="H648" i="20"/>
  <c r="I648" i="20" s="1"/>
  <c r="H949" i="20"/>
  <c r="I949" i="20" s="1"/>
  <c r="H1737" i="20"/>
  <c r="I1737" i="20" s="1"/>
  <c r="H1461" i="20"/>
  <c r="I1461" i="20" s="1"/>
  <c r="H551" i="20"/>
  <c r="H1452" i="20"/>
  <c r="I1452" i="20" s="1"/>
  <c r="H1751" i="20"/>
  <c r="I1751" i="20" s="1"/>
  <c r="H418" i="20"/>
  <c r="I418" i="20" s="1"/>
  <c r="H970" i="20"/>
  <c r="I970" i="20" s="1"/>
  <c r="H767" i="20"/>
  <c r="I767" i="20" s="1"/>
  <c r="H967" i="20"/>
  <c r="I967" i="20" s="1"/>
  <c r="H1040" i="20"/>
  <c r="I1040" i="20" s="1"/>
  <c r="H2021" i="20"/>
  <c r="I2021" i="20" s="1"/>
  <c r="H1225" i="20"/>
  <c r="I1225" i="20" s="1"/>
  <c r="H1135" i="20"/>
  <c r="I1135" i="20" s="1"/>
  <c r="H502" i="20"/>
  <c r="I502" i="20" s="1"/>
  <c r="H783" i="20"/>
  <c r="I783" i="20" s="1"/>
  <c r="H230" i="20"/>
  <c r="I230" i="20" s="1"/>
  <c r="H911" i="20"/>
  <c r="H779" i="20"/>
  <c r="I779" i="20" s="1"/>
  <c r="H777" i="20"/>
  <c r="I777" i="20" s="1"/>
  <c r="H1325" i="20"/>
  <c r="I1325" i="20" s="1"/>
  <c r="H2022" i="20"/>
  <c r="I2022" i="20" s="1"/>
  <c r="H381" i="20"/>
  <c r="H757" i="20"/>
  <c r="I757" i="20" s="1"/>
  <c r="H1211" i="20"/>
  <c r="I1211" i="20" s="1"/>
  <c r="H778" i="20"/>
  <c r="I778" i="20" s="1"/>
  <c r="H159" i="20"/>
  <c r="I159" i="20" s="1"/>
  <c r="H1724" i="20"/>
  <c r="I1724" i="20" s="1"/>
  <c r="H126" i="20"/>
  <c r="I126" i="20" s="1"/>
  <c r="H1222" i="20"/>
  <c r="I1222" i="20" s="1"/>
  <c r="H1052" i="20"/>
  <c r="I1052" i="20" s="1"/>
  <c r="H1396" i="20"/>
  <c r="I1396" i="20" s="1"/>
  <c r="H732" i="20"/>
  <c r="I732" i="20" s="1"/>
  <c r="H1417" i="20"/>
  <c r="I1417" i="20" s="1"/>
  <c r="H1495" i="20"/>
  <c r="I1495" i="20" s="1"/>
  <c r="H592" i="20"/>
  <c r="I592" i="20" s="1"/>
  <c r="H339" i="20"/>
  <c r="I339" i="20" s="1"/>
  <c r="H323" i="20"/>
  <c r="I323" i="20" s="1"/>
  <c r="H932" i="20"/>
  <c r="I932" i="20" s="1"/>
  <c r="H2048" i="20"/>
  <c r="I2048" i="20" s="1"/>
  <c r="H605" i="20"/>
  <c r="I605" i="20" s="1"/>
  <c r="H1584" i="20"/>
  <c r="I1584" i="20" s="1"/>
  <c r="H1315" i="20"/>
  <c r="I1315" i="20" s="1"/>
  <c r="H1473" i="20"/>
  <c r="I1473" i="20" s="1"/>
  <c r="H313" i="20"/>
  <c r="I313" i="20" s="1"/>
  <c r="H1726" i="20"/>
  <c r="I1726" i="20" s="1"/>
  <c r="H1933" i="20"/>
  <c r="I1933" i="20" s="1"/>
  <c r="H407" i="20"/>
  <c r="I407" i="20" s="1"/>
  <c r="H141" i="20"/>
  <c r="I141" i="20" s="1"/>
  <c r="H1768" i="20"/>
  <c r="I1768" i="20" s="1"/>
  <c r="H2025" i="20"/>
  <c r="I2025" i="20" s="1"/>
  <c r="H415" i="20"/>
  <c r="I415" i="20" s="1"/>
  <c r="H948" i="20"/>
  <c r="I948" i="20" s="1"/>
  <c r="H1950" i="20"/>
  <c r="I1950" i="20" s="1"/>
  <c r="H1851" i="20"/>
  <c r="I1851" i="20" s="1"/>
  <c r="H789" i="20"/>
  <c r="I789" i="20" s="1"/>
  <c r="H1274" i="20"/>
  <c r="I1274" i="20" s="1"/>
  <c r="H464" i="20"/>
  <c r="I464" i="20" s="1"/>
  <c r="H1285" i="20"/>
  <c r="I1285" i="20" s="1"/>
  <c r="H197" i="20"/>
  <c r="I197" i="20" s="1"/>
  <c r="H1293" i="20"/>
  <c r="I1293" i="20" s="1"/>
  <c r="H144" i="20"/>
  <c r="I144" i="20" s="1"/>
  <c r="H1464" i="20"/>
  <c r="I1464" i="20" s="1"/>
  <c r="H219" i="20"/>
  <c r="I219" i="20" s="1"/>
  <c r="H1544" i="20"/>
  <c r="I1544" i="20" s="1"/>
  <c r="H416" i="20"/>
  <c r="I416" i="20" s="1"/>
  <c r="H503" i="20"/>
  <c r="I503" i="20" s="1"/>
  <c r="H1288" i="20"/>
  <c r="I1288" i="20" s="1"/>
  <c r="H1107" i="20"/>
  <c r="I1107" i="20" s="1"/>
  <c r="H1551" i="20"/>
  <c r="I1551" i="20" s="1"/>
  <c r="H1813" i="20"/>
  <c r="I1813" i="20" s="1"/>
  <c r="H1994" i="20"/>
  <c r="H1299" i="20"/>
  <c r="I1299" i="20" s="1"/>
  <c r="H847" i="20"/>
  <c r="I847" i="20" s="1"/>
  <c r="H149" i="20"/>
  <c r="I149" i="20" s="1"/>
  <c r="H1817" i="20"/>
  <c r="I1817" i="20" s="1"/>
  <c r="H1366" i="20"/>
  <c r="I1366" i="20" s="1"/>
  <c r="H764" i="20"/>
  <c r="I764" i="20" s="1"/>
  <c r="H582" i="20"/>
  <c r="I582" i="20" s="1"/>
  <c r="H659" i="20"/>
  <c r="I659" i="20" s="1"/>
  <c r="H2027" i="20"/>
  <c r="I2027" i="20" s="1"/>
  <c r="H1319" i="20"/>
  <c r="I1319" i="20" s="1"/>
  <c r="H595" i="20"/>
  <c r="I595" i="20" s="1"/>
  <c r="H1403" i="20"/>
  <c r="I1403" i="20" s="1"/>
  <c r="H1951" i="20"/>
  <c r="I1951" i="20" s="1"/>
  <c r="H1002" i="20"/>
  <c r="I1002" i="20" s="1"/>
  <c r="H371" i="20"/>
  <c r="H396" i="20"/>
  <c r="I396" i="20" s="1"/>
  <c r="H1573" i="20"/>
  <c r="I1573" i="20" s="1"/>
  <c r="H1504" i="20"/>
  <c r="I1504" i="20" s="1"/>
  <c r="H2004" i="20"/>
  <c r="I2004" i="20" s="1"/>
  <c r="H835" i="20"/>
  <c r="I835" i="20" s="1"/>
  <c r="H227" i="20"/>
  <c r="I227" i="20" s="1"/>
  <c r="H1725" i="20"/>
  <c r="I1725" i="20" s="1"/>
  <c r="H2008" i="20"/>
  <c r="I2008" i="20" s="1"/>
  <c r="H1383" i="20"/>
  <c r="I1383" i="20" s="1"/>
  <c r="H1675" i="20"/>
  <c r="I1675" i="20" s="1"/>
  <c r="H1275" i="20"/>
  <c r="I1275" i="20" s="1"/>
  <c r="H965" i="20"/>
  <c r="I965" i="20" s="1"/>
  <c r="H1136" i="20"/>
  <c r="I1136" i="20" s="1"/>
  <c r="H1757" i="20"/>
  <c r="I1757" i="20" s="1"/>
  <c r="H474" i="20"/>
  <c r="I474" i="20" s="1"/>
  <c r="H565" i="20"/>
  <c r="I565" i="20" s="1"/>
  <c r="H140" i="20"/>
  <c r="I140" i="20" s="1"/>
  <c r="H1818" i="20"/>
  <c r="I1818" i="20" s="1"/>
  <c r="H1096" i="20"/>
  <c r="I1096" i="20" s="1"/>
  <c r="H311" i="20"/>
  <c r="I311" i="20" s="1"/>
  <c r="H2015" i="20"/>
  <c r="I2015" i="20" s="1"/>
  <c r="H606" i="20"/>
  <c r="I606" i="20" s="1"/>
  <c r="H823" i="20"/>
  <c r="I823" i="20" s="1"/>
  <c r="H133" i="20"/>
  <c r="I133" i="20" s="1"/>
  <c r="H853" i="20"/>
  <c r="I853" i="20" s="1"/>
  <c r="H1931" i="20"/>
  <c r="I1931" i="20" s="1"/>
  <c r="H1651" i="20"/>
  <c r="I1651" i="20" s="1"/>
  <c r="H325" i="20"/>
  <c r="I325" i="20" s="1"/>
  <c r="H505" i="20"/>
  <c r="I505" i="20" s="1"/>
  <c r="H1402" i="20"/>
  <c r="I1402" i="20" s="1"/>
  <c r="H600" i="20"/>
  <c r="I600" i="20" s="1"/>
  <c r="H867" i="20"/>
  <c r="I867" i="20" s="1"/>
  <c r="H1954" i="20"/>
  <c r="I1954" i="20" s="1"/>
  <c r="H1995" i="20"/>
  <c r="I1995" i="20" s="1"/>
  <c r="H1412" i="20"/>
  <c r="I1412" i="20" s="1"/>
  <c r="H584" i="20"/>
  <c r="I584" i="20" s="1"/>
  <c r="H333" i="20"/>
  <c r="I333" i="20" s="1"/>
  <c r="H775" i="20"/>
  <c r="I775" i="20" s="1"/>
  <c r="H914" i="20"/>
  <c r="I914" i="20" s="1"/>
  <c r="H1327" i="20"/>
  <c r="I1327" i="20" s="1"/>
  <c r="H1583" i="20"/>
  <c r="I1583" i="20" s="1"/>
  <c r="H1056" i="20"/>
  <c r="I1056" i="20" s="1"/>
  <c r="H954" i="20"/>
  <c r="I954" i="20" s="1"/>
  <c r="H1276" i="20"/>
  <c r="I1276" i="20" s="1"/>
  <c r="H681" i="20"/>
  <c r="I681" i="20" s="1"/>
  <c r="H1857" i="20"/>
  <c r="I1857" i="20" s="1"/>
  <c r="H1234" i="20"/>
  <c r="I1234" i="20" s="1"/>
  <c r="H586" i="20"/>
  <c r="I586" i="20" s="1"/>
  <c r="H644" i="20"/>
  <c r="I644" i="20" s="1"/>
  <c r="H1648" i="20"/>
  <c r="I1648" i="20" s="1"/>
  <c r="H1138" i="20"/>
  <c r="I1138" i="20" s="1"/>
  <c r="H1947" i="20"/>
  <c r="I1947" i="20" s="1"/>
  <c r="H1841" i="20"/>
  <c r="I1841" i="20" s="1"/>
  <c r="H1729" i="20"/>
  <c r="H1646" i="20"/>
  <c r="I1646" i="20" s="1"/>
  <c r="H1860" i="20"/>
  <c r="I1860" i="20" s="1"/>
  <c r="H1326" i="20"/>
  <c r="I1326" i="20" s="1"/>
  <c r="H315" i="20"/>
  <c r="I315" i="20" s="1"/>
  <c r="H2034" i="20"/>
  <c r="I2034" i="20" s="1"/>
  <c r="H1286" i="20"/>
  <c r="I1286" i="20" s="1"/>
  <c r="H1039" i="20"/>
  <c r="I1039" i="20" s="1"/>
  <c r="H1686" i="20"/>
  <c r="I1686" i="20" s="1"/>
  <c r="H1046" i="20"/>
  <c r="I1046" i="20" s="1"/>
  <c r="H1413" i="20"/>
  <c r="I1413" i="20" s="1"/>
  <c r="H1147" i="20"/>
  <c r="I1147" i="20" s="1"/>
  <c r="H683" i="20"/>
  <c r="I683" i="20" s="1"/>
  <c r="H1361" i="20"/>
  <c r="H1406" i="20"/>
  <c r="I1406" i="20" s="1"/>
  <c r="H1240" i="20"/>
  <c r="I1240" i="20" s="1"/>
  <c r="H871" i="20"/>
  <c r="I871" i="20" s="1"/>
  <c r="H1230" i="20"/>
  <c r="I1230" i="20" s="1"/>
  <c r="H1485" i="20"/>
  <c r="I1485" i="20" s="1"/>
  <c r="H1408" i="20"/>
  <c r="I1408" i="20" s="1"/>
  <c r="H231" i="20"/>
  <c r="I231" i="20" s="1"/>
  <c r="H2041" i="20"/>
  <c r="I2041" i="20" s="1"/>
  <c r="H609" i="20"/>
  <c r="I609" i="20" s="1"/>
  <c r="H1735" i="20"/>
  <c r="I1735" i="20" s="1"/>
  <c r="H940" i="20"/>
  <c r="I940" i="20" s="1"/>
  <c r="H2018" i="20"/>
  <c r="I2018" i="20" s="1"/>
  <c r="H2020" i="20"/>
  <c r="I2020" i="20" s="1"/>
  <c r="H1990" i="20"/>
  <c r="H1014" i="20"/>
  <c r="I1014" i="20" s="1"/>
  <c r="H1579" i="20"/>
  <c r="I1579" i="20" s="1"/>
  <c r="H1997" i="20"/>
  <c r="I1997" i="20" s="1"/>
  <c r="H480" i="20"/>
  <c r="I480" i="20" s="1"/>
  <c r="H662" i="20"/>
  <c r="I662" i="20" s="1"/>
  <c r="H318" i="20"/>
  <c r="I318" i="20" s="1"/>
  <c r="H430" i="20"/>
  <c r="I430" i="20" s="1"/>
  <c r="H829" i="20"/>
  <c r="I829" i="20" s="1"/>
  <c r="H738" i="20"/>
  <c r="I738" i="20" s="1"/>
  <c r="H946" i="20"/>
  <c r="I946" i="20" s="1"/>
  <c r="H579" i="20"/>
  <c r="I579" i="20" s="1"/>
  <c r="H309" i="20"/>
  <c r="I309" i="20" s="1"/>
  <c r="H570" i="20"/>
  <c r="I570" i="20" s="1"/>
  <c r="H838" i="20"/>
  <c r="I838" i="20" s="1"/>
  <c r="H1321" i="20"/>
  <c r="I1321" i="20" s="1"/>
  <c r="H1010" i="20"/>
  <c r="I1010" i="20" s="1"/>
  <c r="H1745" i="20"/>
  <c r="I1745" i="20" s="1"/>
  <c r="H1472" i="20"/>
  <c r="I1472" i="20" s="1"/>
  <c r="H1291" i="20"/>
  <c r="I1291" i="20" s="1"/>
  <c r="H1374" i="20"/>
  <c r="I1374" i="20" s="1"/>
  <c r="H951" i="20"/>
  <c r="I951" i="20" s="1"/>
  <c r="H671" i="20"/>
  <c r="I671" i="20" s="1"/>
  <c r="H1054" i="20"/>
  <c r="I1054" i="20" s="1"/>
  <c r="H1218" i="20"/>
  <c r="I1218" i="20" s="1"/>
  <c r="H1482" i="20"/>
  <c r="I1482" i="20" s="1"/>
  <c r="H1029" i="20"/>
  <c r="I1029" i="20" s="1"/>
  <c r="H1577" i="20"/>
  <c r="I1577" i="20" s="1"/>
  <c r="H1110" i="20"/>
  <c r="I1110" i="20" s="1"/>
  <c r="H1563" i="20"/>
  <c r="I1563" i="20" s="1"/>
  <c r="H842" i="20"/>
  <c r="I842" i="20" s="1"/>
  <c r="H191" i="20"/>
  <c r="H734" i="20"/>
  <c r="I734" i="20" s="1"/>
  <c r="H1956" i="20"/>
  <c r="I1956" i="20" s="1"/>
  <c r="H1202" i="20"/>
  <c r="I1202" i="20" s="1"/>
  <c r="H1731" i="20"/>
  <c r="I1731" i="20" s="1"/>
  <c r="H203" i="20"/>
  <c r="H1822" i="20"/>
  <c r="I1822" i="20" s="1"/>
  <c r="H1454" i="20"/>
  <c r="I1454" i="20" s="1"/>
  <c r="H1220" i="20"/>
  <c r="I1220" i="20" s="1"/>
  <c r="H2040" i="20"/>
  <c r="I2040" i="20" s="1"/>
  <c r="H2049" i="20"/>
  <c r="I2049" i="20" s="1"/>
  <c r="H288" i="20"/>
  <c r="I288" i="20" s="1"/>
  <c r="H287" i="20"/>
  <c r="I287" i="20" s="1"/>
  <c r="H1547" i="20"/>
  <c r="I1547" i="20" s="1"/>
  <c r="H1298" i="20"/>
  <c r="I1298" i="20" s="1"/>
  <c r="H850" i="20"/>
  <c r="I850" i="20" s="1"/>
  <c r="H242" i="20"/>
  <c r="I242" i="20" s="1"/>
  <c r="H1103" i="20"/>
  <c r="I1103" i="20" s="1"/>
  <c r="H426" i="20"/>
  <c r="I426" i="20" s="1"/>
  <c r="H1554" i="20"/>
  <c r="I1554" i="20" s="1"/>
  <c r="H469" i="20"/>
  <c r="I469" i="20" s="1"/>
  <c r="H2009" i="20"/>
  <c r="I2009" i="20" s="1"/>
  <c r="H1113" i="20"/>
  <c r="I1113" i="20" s="1"/>
  <c r="H1766" i="20"/>
  <c r="I1766" i="20" s="1"/>
  <c r="H222" i="20"/>
  <c r="I222" i="20" s="1"/>
  <c r="H1859" i="20"/>
  <c r="I1859" i="20" s="1"/>
  <c r="H1586" i="20"/>
  <c r="I1586" i="20" s="1"/>
  <c r="H1481" i="20"/>
  <c r="I1481" i="20" s="1"/>
  <c r="H1497" i="20"/>
  <c r="I1497" i="20" s="1"/>
  <c r="H299" i="20"/>
  <c r="I299" i="20" s="1"/>
  <c r="H874" i="20"/>
  <c r="I874" i="20" s="1"/>
  <c r="H1411" i="20"/>
  <c r="I1411" i="20" s="1"/>
  <c r="H1226" i="20"/>
  <c r="I1226" i="20" s="1"/>
  <c r="H1232" i="20"/>
  <c r="I1232" i="20" s="1"/>
  <c r="H1600" i="20"/>
  <c r="I1600" i="20" s="1"/>
  <c r="H250" i="20"/>
  <c r="I250" i="20" s="1"/>
  <c r="H1414" i="20"/>
  <c r="I1414" i="20" s="1"/>
  <c r="H518" i="20"/>
  <c r="I518" i="20" s="1"/>
  <c r="H958" i="20"/>
  <c r="I958" i="20" s="1"/>
  <c r="H863" i="20"/>
  <c r="I863" i="20" s="1"/>
  <c r="H669" i="20"/>
  <c r="I669" i="20" s="1"/>
  <c r="H512" i="20"/>
  <c r="I512" i="20" s="1"/>
  <c r="H693" i="20"/>
  <c r="I693" i="20" s="1"/>
  <c r="H228" i="20"/>
  <c r="I228" i="20" s="1"/>
  <c r="H143" i="20"/>
  <c r="I143" i="20" s="1"/>
  <c r="H486" i="20"/>
  <c r="I486" i="20" s="1"/>
  <c r="H1314" i="20"/>
  <c r="I1314" i="20" s="1"/>
  <c r="H1420" i="20"/>
  <c r="I1420" i="20" s="1"/>
  <c r="H138" i="20"/>
  <c r="I138" i="20" s="1"/>
  <c r="H142" i="20"/>
  <c r="I142" i="20" s="1"/>
  <c r="H304" i="20"/>
  <c r="I304" i="20" s="1"/>
  <c r="H657" i="20"/>
  <c r="I657" i="20" s="1"/>
  <c r="H1593" i="20"/>
  <c r="I1593" i="20" s="1"/>
  <c r="H969" i="20"/>
  <c r="I969" i="20" s="1"/>
  <c r="H1487" i="20"/>
  <c r="I1487" i="20" s="1"/>
  <c r="H2039" i="20"/>
  <c r="I2039" i="20" s="1"/>
  <c r="H1185" i="20"/>
  <c r="I1185" i="20" s="1"/>
  <c r="H1849" i="20"/>
  <c r="I1849" i="20" s="1"/>
  <c r="H1395" i="20"/>
  <c r="I1395" i="20" s="1"/>
  <c r="H240" i="20"/>
  <c r="I240" i="20" s="1"/>
  <c r="H1777" i="20"/>
  <c r="I1777" i="20" s="1"/>
  <c r="H1764" i="20"/>
  <c r="I1764" i="20" s="1"/>
  <c r="H583" i="20"/>
  <c r="I583" i="20" s="1"/>
  <c r="H755" i="20"/>
  <c r="I755" i="20" s="1"/>
  <c r="H245" i="20"/>
  <c r="I245" i="20" s="1"/>
  <c r="H677" i="20"/>
  <c r="I677" i="20" s="1"/>
  <c r="H1598" i="20"/>
  <c r="I1598" i="20" s="1"/>
  <c r="H519" i="20"/>
  <c r="I519" i="20" s="1"/>
  <c r="H2037" i="20"/>
  <c r="I2037" i="20" s="1"/>
  <c r="H773" i="20"/>
  <c r="I773" i="20" s="1"/>
  <c r="H1664" i="20"/>
  <c r="I1664" i="20" s="1"/>
  <c r="H1870" i="20"/>
  <c r="I1870" i="20" s="1"/>
  <c r="H1217" i="20"/>
  <c r="I1217" i="20" s="1"/>
  <c r="H1901" i="20"/>
  <c r="H294" i="20"/>
  <c r="I294" i="20" s="1"/>
  <c r="H1503" i="20"/>
  <c r="I1503" i="20" s="1"/>
  <c r="H417" i="20"/>
  <c r="I417" i="20" s="1"/>
  <c r="H1296" i="20"/>
  <c r="I1296" i="20" s="1"/>
  <c r="H1906" i="20"/>
  <c r="I1906" i="20" s="1"/>
  <c r="H1146" i="20"/>
  <c r="I1146" i="20" s="1"/>
  <c r="H129" i="20"/>
  <c r="I129" i="20" s="1"/>
  <c r="H1820" i="20"/>
  <c r="I1820" i="20" s="1"/>
  <c r="H926" i="20"/>
  <c r="I926" i="20" s="1"/>
  <c r="H1484" i="20"/>
  <c r="I1484" i="20" s="1"/>
  <c r="H499" i="20"/>
  <c r="I499" i="20" s="1"/>
  <c r="H1390" i="20"/>
  <c r="I1390" i="20" s="1"/>
  <c r="H1208" i="20"/>
  <c r="I1208" i="20" s="1"/>
  <c r="H602" i="20"/>
  <c r="I602" i="20" s="1"/>
  <c r="H1468" i="20"/>
  <c r="I1468" i="20" s="1"/>
  <c r="H389" i="20"/>
  <c r="I389" i="20" s="1"/>
  <c r="H1221" i="20"/>
  <c r="I1221" i="20" s="1"/>
  <c r="H925" i="20"/>
  <c r="I925" i="20" s="1"/>
  <c r="H1223" i="20"/>
  <c r="I1223" i="20" s="1"/>
  <c r="H1023" i="20"/>
  <c r="I1023" i="20" s="1"/>
  <c r="H1853" i="20"/>
  <c r="I1853" i="20" s="1"/>
  <c r="H465" i="20"/>
  <c r="I465" i="20" s="1"/>
  <c r="H1556" i="20"/>
  <c r="I1556" i="20" s="1"/>
  <c r="H1214" i="20"/>
  <c r="I1214" i="20" s="1"/>
  <c r="H699" i="20"/>
  <c r="I699" i="20" s="1"/>
  <c r="H865" i="20"/>
  <c r="I865" i="20" s="1"/>
  <c r="H698" i="20"/>
  <c r="I698" i="20" s="1"/>
  <c r="H961" i="20"/>
  <c r="I961" i="20" s="1"/>
  <c r="H1128" i="20"/>
  <c r="I1128" i="20" s="1"/>
  <c r="H1112" i="20"/>
  <c r="I1112" i="20" s="1"/>
  <c r="H1196" i="20"/>
  <c r="I1196" i="20" s="1"/>
  <c r="H1368" i="20"/>
  <c r="I1368" i="20" s="1"/>
  <c r="H1639" i="20"/>
  <c r="H1451" i="20"/>
  <c r="H312" i="20"/>
  <c r="I312" i="20" s="1"/>
  <c r="H578" i="20"/>
  <c r="I578" i="20" s="1"/>
  <c r="H1773" i="20"/>
  <c r="I1773" i="20" s="1"/>
  <c r="H112" i="20"/>
  <c r="H1549" i="20"/>
  <c r="I1549" i="20" s="1"/>
  <c r="H1272" i="20"/>
  <c r="I1272" i="20" s="1"/>
  <c r="H1723" i="20"/>
  <c r="I1723" i="20" s="1"/>
  <c r="H483" i="20"/>
  <c r="I483" i="20" s="1"/>
  <c r="H589" i="20"/>
  <c r="I589" i="20" s="1"/>
  <c r="H1680" i="20"/>
  <c r="I1680" i="20" s="1"/>
  <c r="H2023" i="20"/>
  <c r="I2023" i="20" s="1"/>
  <c r="H851" i="20"/>
  <c r="I851" i="20" s="1"/>
  <c r="H668" i="20"/>
  <c r="I668" i="20" s="1"/>
  <c r="H1393" i="20"/>
  <c r="I1393" i="20" s="1"/>
  <c r="H1827" i="20"/>
  <c r="I1827" i="20" s="1"/>
  <c r="H1290" i="20"/>
  <c r="I1290" i="20" s="1"/>
  <c r="H1379" i="20"/>
  <c r="I1379" i="20" s="1"/>
  <c r="H1279" i="20"/>
  <c r="I1279" i="20" s="1"/>
  <c r="H327" i="20"/>
  <c r="I327" i="20" s="1"/>
  <c r="H939" i="20"/>
  <c r="I939" i="20" s="1"/>
  <c r="H574" i="20"/>
  <c r="I574" i="20" s="1"/>
  <c r="H1912" i="20"/>
  <c r="I1912" i="20" s="1"/>
  <c r="H293" i="20"/>
  <c r="I293" i="20" s="1"/>
  <c r="H1034" i="20"/>
  <c r="I1034" i="20" s="1"/>
  <c r="H1133" i="20"/>
  <c r="I1133" i="20" s="1"/>
  <c r="H1864" i="20"/>
  <c r="I1864" i="20" s="1"/>
  <c r="H147" i="20"/>
  <c r="I147" i="20" s="1"/>
  <c r="H408" i="20"/>
  <c r="I408" i="20" s="1"/>
  <c r="H340" i="20"/>
  <c r="I340" i="20" s="1"/>
  <c r="H1561" i="20"/>
  <c r="I1561" i="20" s="1"/>
  <c r="H150" i="20"/>
  <c r="I150" i="20" s="1"/>
  <c r="H1059" i="20"/>
  <c r="I1059" i="20" s="1"/>
  <c r="H1862" i="20"/>
  <c r="I1862" i="20" s="1"/>
  <c r="H406" i="20"/>
  <c r="I406" i="20" s="1"/>
  <c r="H1277" i="20"/>
  <c r="I1277" i="20" s="1"/>
  <c r="H758" i="20"/>
  <c r="I758" i="20" s="1"/>
  <c r="H1506" i="20"/>
  <c r="I1506" i="20" s="1"/>
  <c r="H412" i="20"/>
  <c r="I412" i="20" s="1"/>
  <c r="H1684" i="20"/>
  <c r="I1684" i="20" s="1"/>
  <c r="H557" i="20"/>
  <c r="I557" i="20" s="1"/>
  <c r="H1507" i="20"/>
  <c r="I1507" i="20" s="1"/>
  <c r="H1399" i="20"/>
  <c r="I1399" i="20" s="1"/>
  <c r="H1509" i="20"/>
  <c r="I1509" i="20" s="1"/>
  <c r="H1049" i="20"/>
  <c r="I1049" i="20" s="1"/>
  <c r="H1134" i="20"/>
  <c r="I1134" i="20" s="1"/>
  <c r="H1567" i="20"/>
  <c r="I1567" i="20" s="1"/>
  <c r="H1132" i="20"/>
  <c r="I1132" i="20" s="1"/>
  <c r="H1938" i="20"/>
  <c r="I1938" i="20" s="1"/>
  <c r="H414" i="20"/>
  <c r="I414" i="20" s="1"/>
  <c r="H1137" i="20"/>
  <c r="I1137" i="20" s="1"/>
  <c r="H1833" i="20"/>
  <c r="I1833" i="20" s="1"/>
  <c r="H1405" i="20"/>
  <c r="I1405" i="20" s="1"/>
  <c r="H1418" i="20"/>
  <c r="I1418" i="20" s="1"/>
  <c r="H1755" i="20"/>
  <c r="I1755" i="20" s="1"/>
  <c r="H1311" i="20"/>
  <c r="I1311" i="20" s="1"/>
  <c r="H1123" i="20"/>
  <c r="I1123" i="20" s="1"/>
  <c r="H866" i="20"/>
  <c r="I866" i="20" s="1"/>
  <c r="H332" i="20"/>
  <c r="I332" i="20" s="1"/>
  <c r="H1937" i="20"/>
  <c r="I1937" i="20" s="1"/>
  <c r="H1033" i="20"/>
  <c r="I1033" i="20" s="1"/>
  <c r="H1775" i="20"/>
  <c r="I1775" i="20" s="1"/>
  <c r="H1045" i="20"/>
  <c r="I1045" i="20" s="1"/>
  <c r="H754" i="20"/>
  <c r="I754" i="20" s="1"/>
  <c r="H2031" i="20"/>
  <c r="I2031" i="20" s="1"/>
  <c r="H157" i="20"/>
  <c r="I157" i="20" s="1"/>
  <c r="H516" i="20"/>
  <c r="I516" i="20" s="1"/>
  <c r="H1129" i="20"/>
  <c r="I1129" i="20" s="1"/>
  <c r="H515" i="20"/>
  <c r="I515" i="20" s="1"/>
  <c r="H1945" i="20"/>
  <c r="I1945" i="20" s="1"/>
  <c r="H1690" i="20"/>
  <c r="I1690" i="20" s="1"/>
  <c r="H1585" i="20"/>
  <c r="I1585" i="20" s="1"/>
  <c r="H1843" i="20"/>
  <c r="I1843" i="20" s="1"/>
  <c r="H1317" i="20"/>
  <c r="I1317" i="20" s="1"/>
  <c r="H1295" i="20"/>
  <c r="I1295" i="20" s="1"/>
  <c r="H285" i="20"/>
  <c r="I285" i="20" s="1"/>
  <c r="H1280" i="20"/>
  <c r="I1280" i="20" s="1"/>
  <c r="H836" i="20"/>
  <c r="I836" i="20" s="1"/>
  <c r="H1109" i="20"/>
  <c r="I1109" i="20" s="1"/>
  <c r="H1194" i="20"/>
  <c r="I1194" i="20" s="1"/>
  <c r="H748" i="20"/>
  <c r="I748" i="20" s="1"/>
  <c r="H1923" i="20"/>
  <c r="I1923" i="20" s="1"/>
  <c r="H1568" i="20"/>
  <c r="I1568" i="20" s="1"/>
  <c r="H306" i="20"/>
  <c r="I306" i="20" s="1"/>
  <c r="H580" i="20"/>
  <c r="I580" i="20" s="1"/>
  <c r="H1570" i="20"/>
  <c r="I1570" i="20" s="1"/>
  <c r="H1565" i="20"/>
  <c r="I1565" i="20" s="1"/>
  <c r="H1021" i="20"/>
  <c r="I1021" i="20" s="1"/>
  <c r="H938" i="20"/>
  <c r="I938" i="20" s="1"/>
  <c r="H737" i="20"/>
  <c r="I737" i="20" s="1"/>
  <c r="H1911" i="20"/>
  <c r="I1911" i="20" s="1"/>
  <c r="H731" i="20"/>
  <c r="H1120" i="20"/>
  <c r="I1120" i="20" s="1"/>
  <c r="H676" i="20"/>
  <c r="I676" i="20" s="1"/>
  <c r="H296" i="20"/>
  <c r="I296" i="20" s="1"/>
  <c r="H116" i="20"/>
  <c r="I116" i="20" s="1"/>
  <c r="H466" i="20"/>
  <c r="I466" i="20" s="1"/>
  <c r="H373" i="20"/>
  <c r="I373" i="20" s="1"/>
  <c r="H1237" i="20"/>
  <c r="I1237" i="20" s="1"/>
  <c r="H1858" i="20"/>
  <c r="I1858" i="20" s="1"/>
  <c r="H1048" i="20"/>
  <c r="I1048" i="20" s="1"/>
  <c r="H1580" i="20"/>
  <c r="I1580" i="20" s="1"/>
  <c r="H243" i="20"/>
  <c r="I243" i="20" s="1"/>
  <c r="H700" i="20"/>
  <c r="I700" i="20" s="1"/>
  <c r="H1099" i="20"/>
  <c r="I1099" i="20" s="1"/>
  <c r="H1905" i="20"/>
  <c r="I1905" i="20" s="1"/>
  <c r="H1840" i="20"/>
  <c r="I1840" i="20" s="1"/>
  <c r="H670" i="20"/>
  <c r="I670" i="20" s="1"/>
  <c r="H492" i="20"/>
  <c r="I492" i="20" s="1"/>
  <c r="H1744" i="20"/>
  <c r="I1744" i="20" s="1"/>
  <c r="H935" i="20"/>
  <c r="I935" i="20" s="1"/>
  <c r="H1682" i="20"/>
  <c r="I1682" i="20" s="1"/>
  <c r="H924" i="20"/>
  <c r="I924" i="20" s="1"/>
  <c r="H308" i="20"/>
  <c r="I308" i="20" s="1"/>
  <c r="H125" i="20"/>
  <c r="I125" i="20" s="1"/>
  <c r="H2014" i="20"/>
  <c r="I2014" i="20" s="1"/>
  <c r="H1016" i="20"/>
  <c r="I1016" i="20" s="1"/>
  <c r="H2028" i="20"/>
  <c r="I2028" i="20" s="1"/>
  <c r="H1668" i="20"/>
  <c r="I1668" i="20" s="1"/>
  <c r="H487" i="20"/>
  <c r="I487" i="20" s="1"/>
  <c r="H1830" i="20"/>
  <c r="I1830" i="20" s="1"/>
  <c r="H120" i="20"/>
  <c r="I120" i="20" s="1"/>
  <c r="H479" i="20"/>
  <c r="I479" i="20" s="1"/>
  <c r="H832" i="20"/>
  <c r="I832" i="20" s="1"/>
  <c r="H1362" i="20"/>
  <c r="I1362" i="20" s="1"/>
  <c r="H645" i="20"/>
  <c r="I645" i="20" s="1"/>
  <c r="H1750" i="20"/>
  <c r="I1750" i="20" s="1"/>
  <c r="H146" i="20"/>
  <c r="I146" i="20" s="1"/>
  <c r="H1192" i="20"/>
  <c r="I1192" i="20" s="1"/>
  <c r="H651" i="20"/>
  <c r="I651" i="20" s="1"/>
  <c r="H915" i="20"/>
  <c r="I915" i="20" s="1"/>
  <c r="H106" i="20"/>
  <c r="I106" i="20" s="1"/>
  <c r="H673" i="20"/>
  <c r="I673" i="20" s="1"/>
  <c r="H1498" i="20"/>
  <c r="I1498" i="20" s="1"/>
  <c r="H1663" i="20"/>
  <c r="I1663" i="20" s="1"/>
  <c r="H153" i="20"/>
  <c r="I153" i="20" s="1"/>
  <c r="H610" i="20"/>
  <c r="I610" i="20" s="1"/>
  <c r="H678" i="20"/>
  <c r="I678" i="20" s="1"/>
  <c r="H322" i="20"/>
  <c r="I322" i="20" s="1"/>
  <c r="H1233" i="20"/>
  <c r="I1233" i="20" s="1"/>
  <c r="H336" i="20"/>
  <c r="I336" i="20" s="1"/>
  <c r="H858" i="20"/>
  <c r="I858" i="20" s="1"/>
  <c r="H1038" i="20"/>
  <c r="I1038" i="20" s="1"/>
  <c r="H766" i="20"/>
  <c r="I766" i="20" s="1"/>
  <c r="H205" i="20"/>
  <c r="I205" i="20" s="1"/>
  <c r="H1760" i="20"/>
  <c r="I1760" i="20" s="1"/>
  <c r="H1689" i="20"/>
  <c r="I1689" i="20" s="1"/>
  <c r="H511" i="20"/>
  <c r="I511" i="20" s="1"/>
  <c r="H1386" i="20"/>
  <c r="I1386" i="20" s="1"/>
  <c r="H475" i="20"/>
  <c r="I475" i="20" s="1"/>
  <c r="H966" i="20"/>
  <c r="I966" i="20" s="1"/>
  <c r="H593" i="20"/>
  <c r="I593" i="20" s="1"/>
  <c r="H1959" i="20"/>
  <c r="I1959" i="20" s="1"/>
  <c r="H1910" i="20"/>
  <c r="I1910" i="20" s="1"/>
  <c r="H788" i="20"/>
  <c r="I788" i="20" s="1"/>
  <c r="H1055" i="20"/>
  <c r="I1055" i="20" s="1"/>
  <c r="H2036" i="20"/>
  <c r="I2036" i="20" s="1"/>
  <c r="H331" i="20"/>
  <c r="I331" i="20" s="1"/>
  <c r="H684" i="20"/>
  <c r="I684" i="20" s="1"/>
  <c r="H782" i="20"/>
  <c r="I782" i="20" s="1"/>
  <c r="H879" i="20"/>
  <c r="I879" i="20" s="1"/>
  <c r="H781" i="20"/>
  <c r="I781" i="20" s="1"/>
  <c r="H1672" i="20"/>
  <c r="I1672" i="20" s="1"/>
  <c r="H504" i="20"/>
  <c r="I504" i="20" s="1"/>
  <c r="H1928" i="20"/>
  <c r="I1928" i="20" s="1"/>
  <c r="H1020" i="20"/>
  <c r="I1020" i="20" s="1"/>
  <c r="H1955" i="20"/>
  <c r="I1955" i="20" s="1"/>
  <c r="H2026" i="20"/>
  <c r="I2026" i="20" s="1"/>
  <c r="H1762" i="20"/>
  <c r="I1762" i="20" s="1"/>
  <c r="H232" i="20"/>
  <c r="I232" i="20" s="1"/>
  <c r="H1599" i="20"/>
  <c r="I1599" i="20" s="1"/>
  <c r="H210" i="20"/>
  <c r="I210" i="20" s="1"/>
  <c r="H1102" i="20"/>
  <c r="I1102" i="20" s="1"/>
  <c r="H1869" i="20"/>
  <c r="I1869" i="20" s="1"/>
  <c r="H1042" i="20"/>
  <c r="I1042" i="20" s="1"/>
  <c r="H1674" i="20"/>
  <c r="I1674" i="20" s="1"/>
  <c r="H485" i="20"/>
  <c r="I485" i="20" s="1"/>
  <c r="H852" i="20"/>
  <c r="I852" i="20" s="1"/>
  <c r="H1213" i="20"/>
  <c r="I1213" i="20" s="1"/>
  <c r="H1505" i="20"/>
  <c r="I1505" i="20" s="1"/>
  <c r="H1761" i="20"/>
  <c r="I1761" i="20" s="1"/>
  <c r="H520" i="20"/>
  <c r="I520" i="20" s="1"/>
  <c r="H2046" i="20"/>
  <c r="I2046" i="20" s="1"/>
  <c r="H1824" i="20"/>
  <c r="I1824" i="20" s="1"/>
  <c r="H399" i="20"/>
  <c r="I399" i="20" s="1"/>
  <c r="H1743" i="20"/>
  <c r="I1743" i="20" s="1"/>
  <c r="H1728" i="20"/>
  <c r="I1728" i="20" s="1"/>
  <c r="H1131" i="20"/>
  <c r="I1131" i="20" s="1"/>
  <c r="H1754" i="20"/>
  <c r="I1754" i="20" s="1"/>
  <c r="H1991" i="20"/>
  <c r="I1991" i="20" s="1"/>
  <c r="H1850" i="20"/>
  <c r="I1850" i="20" s="1"/>
  <c r="H139" i="20"/>
  <c r="I139" i="20" s="1"/>
  <c r="H933" i="20"/>
  <c r="I933" i="20" s="1"/>
  <c r="H877" i="20"/>
  <c r="I877" i="20" s="1"/>
  <c r="H1921" i="20"/>
  <c r="I1921" i="20" s="1"/>
  <c r="H473" i="20"/>
  <c r="I473" i="20" s="1"/>
  <c r="H652" i="20"/>
  <c r="I652" i="20" s="1"/>
  <c r="H1370" i="20"/>
  <c r="I1370" i="20" s="1"/>
  <c r="H912" i="20"/>
  <c r="I912" i="20" s="1"/>
  <c r="H1365" i="20"/>
  <c r="I1365" i="20" s="1"/>
  <c r="H854" i="20"/>
  <c r="I854" i="20" s="1"/>
  <c r="H749" i="20"/>
  <c r="I749" i="20" s="1"/>
  <c r="H1486" i="20"/>
  <c r="I1486" i="20" s="1"/>
  <c r="H921" i="20"/>
  <c r="I921" i="20" s="1"/>
  <c r="H650" i="20"/>
  <c r="I650" i="20" s="1"/>
  <c r="H216" i="20"/>
  <c r="I216" i="20" s="1"/>
  <c r="H576" i="20"/>
  <c r="I576" i="20" s="1"/>
  <c r="H1322" i="20"/>
  <c r="I1322" i="20" s="1"/>
  <c r="H1483" i="20"/>
  <c r="I1483" i="20" s="1"/>
  <c r="H869" i="20"/>
  <c r="I869" i="20" s="1"/>
  <c r="H772" i="20"/>
  <c r="I772" i="20" s="1"/>
  <c r="H1323" i="20"/>
  <c r="I1323" i="20" s="1"/>
  <c r="H1324" i="20"/>
  <c r="I1324" i="20" s="1"/>
  <c r="H1184" i="20"/>
  <c r="I1184" i="20" s="1"/>
  <c r="H1727" i="20"/>
  <c r="I1727" i="20" s="1"/>
  <c r="H375" i="20"/>
  <c r="I375" i="20" s="1"/>
  <c r="H936" i="20"/>
  <c r="I936" i="20" s="1"/>
  <c r="H661" i="20"/>
  <c r="I661" i="20" s="1"/>
  <c r="H1047" i="20"/>
  <c r="I1047" i="20" s="1"/>
  <c r="H554" i="20"/>
  <c r="I554" i="20" s="1"/>
  <c r="H1679" i="20"/>
  <c r="I1679" i="20" s="1"/>
  <c r="H1571" i="20"/>
  <c r="I1571" i="20" s="1"/>
  <c r="H2038" i="20"/>
  <c r="I2038" i="20" s="1"/>
  <c r="H1914" i="20"/>
  <c r="I1914" i="20" s="1"/>
  <c r="H746" i="20"/>
  <c r="I746" i="20" s="1"/>
  <c r="H953" i="20"/>
  <c r="I953" i="20" s="1"/>
  <c r="H160" i="20"/>
  <c r="I160" i="20" s="1"/>
  <c r="H1946" i="20"/>
  <c r="I1946" i="20" s="1"/>
  <c r="H937" i="20"/>
  <c r="I937" i="20" s="1"/>
  <c r="H1409" i="20"/>
  <c r="I1409" i="20" s="1"/>
  <c r="H1460" i="20"/>
  <c r="I1460" i="20" s="1"/>
  <c r="H1632" i="20"/>
  <c r="I1632" i="20" s="1"/>
  <c r="H223" i="20"/>
  <c r="I223" i="20" s="1"/>
  <c r="H494" i="20"/>
  <c r="I494" i="20" s="1"/>
  <c r="H759" i="20"/>
  <c r="I759" i="20" s="1"/>
  <c r="H750" i="20"/>
  <c r="I750" i="20" s="1"/>
  <c r="H776" i="20"/>
  <c r="I776" i="20" s="1"/>
  <c r="H1453" i="20"/>
  <c r="I1453" i="20" s="1"/>
  <c r="H740" i="20"/>
  <c r="H127" i="20"/>
  <c r="I127" i="20" s="1"/>
  <c r="H941" i="20"/>
  <c r="I941" i="20" s="1"/>
  <c r="H1150" i="20"/>
  <c r="I1150" i="20" s="1"/>
  <c r="H780" i="20"/>
  <c r="I780" i="20" s="1"/>
  <c r="H862" i="20"/>
  <c r="I862" i="20" s="1"/>
  <c r="H1141" i="20"/>
  <c r="I1141" i="20" s="1"/>
  <c r="H873" i="20"/>
  <c r="I873" i="20" s="1"/>
  <c r="H649" i="20"/>
  <c r="H1553" i="20"/>
  <c r="I1553" i="20" s="1"/>
  <c r="H598" i="20"/>
  <c r="I598" i="20" s="1"/>
  <c r="H859" i="20"/>
  <c r="I859" i="20" s="1"/>
  <c r="H688" i="20"/>
  <c r="I688" i="20" s="1"/>
  <c r="H403" i="20"/>
  <c r="I403" i="20" s="1"/>
  <c r="H571" i="20"/>
  <c r="I571" i="20" s="1"/>
  <c r="H1376" i="20"/>
  <c r="I1376" i="20" s="1"/>
  <c r="H517" i="20"/>
  <c r="I517" i="20" s="1"/>
  <c r="H956" i="20"/>
  <c r="I956" i="20" s="1"/>
  <c r="H1496" i="20"/>
  <c r="I1496" i="20" s="1"/>
  <c r="H212" i="20"/>
  <c r="I212" i="20" s="1"/>
  <c r="H1367" i="20"/>
  <c r="I1367" i="20" s="1"/>
  <c r="H1942" i="20"/>
  <c r="I1942" i="20" s="1"/>
  <c r="H768" i="20"/>
  <c r="I768" i="20" s="1"/>
  <c r="H334" i="20"/>
  <c r="I334" i="20" s="1"/>
  <c r="H1555" i="20"/>
  <c r="I1555" i="20" s="1"/>
  <c r="H1633" i="20"/>
  <c r="I1633" i="20" s="1"/>
  <c r="H1236" i="20"/>
  <c r="I1236" i="20" s="1"/>
  <c r="H1778" i="20"/>
  <c r="I1778" i="20" s="1"/>
  <c r="H495" i="20"/>
  <c r="I495" i="20" s="1"/>
  <c r="H1838" i="20"/>
  <c r="I1838" i="20" s="1"/>
  <c r="H372" i="20"/>
  <c r="I372" i="20" s="1"/>
  <c r="H1228" i="20"/>
  <c r="I1228" i="20" s="1"/>
  <c r="H1848" i="20"/>
  <c r="I1848" i="20" s="1"/>
  <c r="H236" i="20"/>
  <c r="I236" i="20" s="1"/>
  <c r="H422" i="20"/>
  <c r="I422" i="20" s="1"/>
  <c r="H1657" i="20"/>
  <c r="I1657" i="20" s="1"/>
  <c r="H1384" i="20"/>
  <c r="I1384" i="20" s="1"/>
  <c r="H508" i="20"/>
  <c r="I508" i="20" s="1"/>
  <c r="H1500" i="20"/>
  <c r="I1500" i="20" s="1"/>
  <c r="H429" i="20"/>
  <c r="I429" i="20" s="1"/>
  <c r="H2007" i="20"/>
  <c r="I2007" i="20" s="1"/>
  <c r="H404" i="20"/>
  <c r="I404" i="20" s="1"/>
  <c r="H118" i="20"/>
  <c r="I118" i="20" s="1"/>
  <c r="H1815" i="20"/>
  <c r="I1815" i="20" s="1"/>
  <c r="H1669" i="20"/>
  <c r="I1669" i="20" s="1"/>
  <c r="H1416" i="20"/>
  <c r="I1416" i="20" s="1"/>
  <c r="H1480" i="20"/>
  <c r="I1480" i="20" s="1"/>
  <c r="H467" i="20"/>
  <c r="I467" i="20" s="1"/>
  <c r="H1776" i="20"/>
  <c r="I1776" i="20" s="1"/>
  <c r="H1375" i="20"/>
  <c r="I1375" i="20" s="1"/>
  <c r="H1676" i="20"/>
  <c r="I1676" i="20" s="1"/>
  <c r="H1224" i="20"/>
  <c r="I1224" i="20" s="1"/>
  <c r="H1868" i="20"/>
  <c r="I1868" i="20" s="1"/>
  <c r="H1419" i="20"/>
  <c r="I1419" i="20" s="1"/>
  <c r="H1908" i="20"/>
  <c r="I1908" i="20" s="1"/>
  <c r="H916" i="20"/>
  <c r="I916" i="20" s="1"/>
  <c r="H1733" i="20"/>
  <c r="I1733" i="20" s="1"/>
  <c r="H307" i="20"/>
  <c r="I307" i="20" s="1"/>
  <c r="H1836" i="20"/>
  <c r="I1836" i="20" s="1"/>
  <c r="H1508" i="20"/>
  <c r="I1508" i="20" s="1"/>
  <c r="H400" i="20"/>
  <c r="I400" i="20" s="1"/>
  <c r="H1458" i="20"/>
  <c r="I1458" i="20" s="1"/>
  <c r="H1811" i="20"/>
  <c r="H286" i="20"/>
  <c r="I286" i="20" s="1"/>
  <c r="H1510" i="20"/>
  <c r="I1510" i="20" s="1"/>
  <c r="H1013" i="20"/>
  <c r="I1013" i="20" s="1"/>
  <c r="H857" i="20"/>
  <c r="I857" i="20" s="1"/>
  <c r="H136" i="20"/>
  <c r="I136" i="20" s="1"/>
  <c r="H1455" i="20"/>
  <c r="I1455" i="20" s="1"/>
  <c r="H1747" i="20"/>
  <c r="I1747" i="20" s="1"/>
  <c r="H484" i="20"/>
  <c r="I484" i="20" s="1"/>
  <c r="H119" i="20"/>
  <c r="I119" i="20" s="1"/>
  <c r="H1373" i="20"/>
  <c r="I1373" i="20" s="1"/>
  <c r="H224" i="20"/>
  <c r="I224" i="20" s="1"/>
  <c r="H218" i="20"/>
  <c r="I218" i="20" s="1"/>
  <c r="H1748" i="20"/>
  <c r="I1748" i="20" s="1"/>
  <c r="H934" i="20"/>
  <c r="I934" i="20" s="1"/>
  <c r="H387" i="20"/>
  <c r="I387" i="20" s="1"/>
  <c r="H1855" i="20"/>
  <c r="I1855" i="20" s="1"/>
  <c r="H2024" i="20"/>
  <c r="I2024" i="20" s="1"/>
  <c r="H2043" i="20"/>
  <c r="I2043" i="20" s="1"/>
  <c r="H774" i="20"/>
  <c r="I774" i="20" s="1"/>
  <c r="H771" i="20"/>
  <c r="I771" i="20" s="1"/>
  <c r="H1027" i="20"/>
  <c r="I1027" i="20" s="1"/>
  <c r="H845" i="20"/>
  <c r="I845" i="20" s="1"/>
  <c r="H124" i="20"/>
  <c r="I124" i="20" s="1"/>
  <c r="H1297" i="20"/>
  <c r="I1297" i="20" s="1"/>
  <c r="H1104" i="20"/>
  <c r="I1104" i="20" s="1"/>
  <c r="H114" i="20"/>
  <c r="I114" i="20" s="1"/>
  <c r="H1641" i="20"/>
  <c r="I1641" i="20" s="1"/>
  <c r="H2019" i="20"/>
  <c r="I2019" i="20" s="1"/>
  <c r="H413" i="20"/>
  <c r="I413" i="20" s="1"/>
  <c r="H1647" i="20"/>
  <c r="I1647" i="20" s="1"/>
  <c r="H1380" i="20"/>
  <c r="I1380" i="20" s="1"/>
  <c r="H1907" i="20"/>
  <c r="H379" i="20"/>
  <c r="I379" i="20" s="1"/>
  <c r="H2047" i="20"/>
  <c r="I2047" i="20" s="1"/>
  <c r="H405" i="20"/>
  <c r="I405" i="20" s="1"/>
  <c r="H330" i="20"/>
  <c r="I330" i="20" s="1"/>
  <c r="H1557" i="20"/>
  <c r="I1557" i="20" s="1"/>
  <c r="H1465" i="20"/>
  <c r="I1465" i="20" s="1"/>
  <c r="H470" i="20"/>
  <c r="I470" i="20" s="1"/>
  <c r="H1548" i="20"/>
  <c r="I1548" i="20" s="1"/>
  <c r="H825" i="20"/>
  <c r="I825" i="20" s="1"/>
  <c r="H1650" i="20"/>
  <c r="I1650" i="20" s="1"/>
  <c r="H390" i="20"/>
  <c r="I390" i="20" s="1"/>
  <c r="H1044" i="20"/>
  <c r="I1044" i="20" s="1"/>
  <c r="H1721" i="20"/>
  <c r="H846" i="20"/>
  <c r="I846" i="20" s="1"/>
  <c r="H1656" i="20"/>
  <c r="I1656" i="20" s="1"/>
  <c r="H509" i="20"/>
  <c r="I509" i="20" s="1"/>
  <c r="H929" i="20"/>
  <c r="I929" i="20" s="1"/>
  <c r="H246" i="20"/>
  <c r="I246" i="20" s="1"/>
  <c r="H1952" i="20"/>
  <c r="I1952" i="20" s="1"/>
  <c r="H501" i="20"/>
  <c r="I501" i="20" s="1"/>
  <c r="H587" i="20"/>
  <c r="I587" i="20" s="1"/>
  <c r="H1210" i="20"/>
  <c r="I1210" i="20" s="1"/>
  <c r="H1094" i="20"/>
  <c r="I1094" i="20" s="1"/>
  <c r="H392" i="20"/>
  <c r="I392" i="20" s="1"/>
  <c r="H428" i="20"/>
  <c r="I428" i="20" s="1"/>
  <c r="H244" i="20"/>
  <c r="I244" i="20" s="1"/>
  <c r="H420" i="20"/>
  <c r="I420" i="20" s="1"/>
  <c r="H1407" i="20"/>
  <c r="I1407" i="20" s="1"/>
  <c r="H1115" i="20"/>
  <c r="I1115" i="20" s="1"/>
  <c r="H2005" i="20"/>
  <c r="I2005" i="20" s="1"/>
  <c r="H1592" i="20"/>
  <c r="I1592" i="20" s="1"/>
  <c r="H594" i="20"/>
  <c r="I594" i="20" s="1"/>
  <c r="H425" i="20"/>
  <c r="I425" i="20" s="1"/>
  <c r="H653" i="20"/>
  <c r="I653" i="20" s="1"/>
  <c r="H377" i="20"/>
  <c r="I377" i="20" s="1"/>
  <c r="H1239" i="20"/>
  <c r="I1239" i="20" s="1"/>
  <c r="H1318" i="20"/>
  <c r="I1318" i="20" s="1"/>
  <c r="H239" i="20"/>
  <c r="I239" i="20" s="1"/>
  <c r="H834" i="20"/>
  <c r="I834" i="20" s="1"/>
  <c r="H1301" i="20"/>
  <c r="I1301" i="20" s="1"/>
  <c r="H226" i="20"/>
  <c r="I226" i="20" s="1"/>
  <c r="H1670" i="20"/>
  <c r="I1670" i="20" s="1"/>
  <c r="H1058" i="20"/>
  <c r="I1058" i="20" s="1"/>
  <c r="H249" i="20"/>
  <c r="I249" i="20" s="1"/>
  <c r="H1229" i="20"/>
  <c r="I1229" i="20" s="1"/>
  <c r="H410" i="20"/>
  <c r="I410" i="20" s="1"/>
  <c r="H1124" i="20"/>
  <c r="I1124" i="20" s="1"/>
  <c r="H604" i="20"/>
  <c r="I604" i="20" s="1"/>
  <c r="H1594" i="20"/>
  <c r="I1594" i="20" s="1"/>
  <c r="H1574" i="20"/>
  <c r="I1574" i="20" s="1"/>
  <c r="H101" i="20"/>
  <c r="H588" i="20"/>
  <c r="I588" i="20" s="1"/>
  <c r="H1330" i="20"/>
  <c r="I1330" i="20" s="1"/>
  <c r="H498" i="20"/>
  <c r="I498" i="20" s="1"/>
  <c r="H1404" i="20"/>
  <c r="I1404" i="20" s="1"/>
  <c r="H1125" i="20"/>
  <c r="I1125" i="20" s="1"/>
  <c r="H1378" i="20"/>
  <c r="I1378" i="20" s="1"/>
  <c r="H1095" i="20"/>
  <c r="I1095" i="20" s="1"/>
  <c r="H1765" i="20"/>
  <c r="I1765" i="20" s="1"/>
  <c r="H1037" i="20"/>
  <c r="I1037" i="20" s="1"/>
  <c r="H2030" i="20"/>
  <c r="I2030" i="20" s="1"/>
  <c r="H1569" i="20"/>
  <c r="I1569" i="20" s="1"/>
  <c r="H1400" i="20"/>
  <c r="I1400" i="20" s="1"/>
  <c r="G1601" i="20"/>
  <c r="N988" i="20"/>
  <c r="G611" i="20"/>
  <c r="M1058" i="13"/>
  <c r="H1118" i="13"/>
  <c r="H1727" i="13"/>
  <c r="M1667" i="13"/>
  <c r="H422" i="13"/>
  <c r="M362" i="13"/>
  <c r="M100" i="13"/>
  <c r="H160" i="13"/>
  <c r="M1406" i="13"/>
  <c r="H1466" i="13"/>
  <c r="I1519" i="13"/>
  <c r="J1519" i="13" s="1"/>
  <c r="I1520" i="13"/>
  <c r="J1520" i="13" s="1"/>
  <c r="I1521" i="13"/>
  <c r="J1521" i="13" s="1"/>
  <c r="I1538" i="13"/>
  <c r="J1538" i="13" s="1"/>
  <c r="I1541" i="13"/>
  <c r="J1541" i="13" s="1"/>
  <c r="I1551" i="13"/>
  <c r="J1551" i="13" s="1"/>
  <c r="I1552" i="13"/>
  <c r="J1552" i="13" s="1"/>
  <c r="I1498" i="13"/>
  <c r="J1498" i="13" s="1"/>
  <c r="I1493" i="13"/>
  <c r="I1496" i="13"/>
  <c r="J1496" i="13" s="1"/>
  <c r="I1494" i="13"/>
  <c r="J1494" i="13" s="1"/>
  <c r="I1514" i="13"/>
  <c r="J1514" i="13" s="1"/>
  <c r="I1531" i="13"/>
  <c r="J1531" i="13" s="1"/>
  <c r="I1548" i="13"/>
  <c r="J1548" i="13" s="1"/>
  <c r="I1525" i="13"/>
  <c r="J1525" i="13" s="1"/>
  <c r="I1526" i="13"/>
  <c r="J1526" i="13" s="1"/>
  <c r="I1503" i="13"/>
  <c r="J1503" i="13" s="1"/>
  <c r="I1528" i="13"/>
  <c r="J1528" i="13" s="1"/>
  <c r="I1508" i="13"/>
  <c r="J1508" i="13" s="1"/>
  <c r="I1539" i="13"/>
  <c r="J1539" i="13" s="1"/>
  <c r="I1497" i="13"/>
  <c r="J1497" i="13" s="1"/>
  <c r="I1544" i="13"/>
  <c r="J1544" i="13" s="1"/>
  <c r="I1511" i="13"/>
  <c r="J1511" i="13" s="1"/>
  <c r="I1537" i="13"/>
  <c r="J1537" i="13" s="1"/>
  <c r="I1506" i="13"/>
  <c r="J1506" i="13" s="1"/>
  <c r="I1547" i="13"/>
  <c r="J1547" i="13" s="1"/>
  <c r="I1501" i="13"/>
  <c r="J1501" i="13" s="1"/>
  <c r="I1510" i="13"/>
  <c r="J1510" i="13" s="1"/>
  <c r="I1527" i="13"/>
  <c r="J1527" i="13" s="1"/>
  <c r="I1499" i="13"/>
  <c r="J1499" i="13" s="1"/>
  <c r="I1522" i="13"/>
  <c r="J1522" i="13" s="1"/>
  <c r="I1550" i="13"/>
  <c r="J1550" i="13" s="1"/>
  <c r="I1509" i="13"/>
  <c r="J1509" i="13" s="1"/>
  <c r="I1495" i="13"/>
  <c r="J1495" i="13" s="1"/>
  <c r="I1536" i="13"/>
  <c r="J1536" i="13" s="1"/>
  <c r="I1516" i="13"/>
  <c r="J1516" i="13" s="1"/>
  <c r="I1530" i="13"/>
  <c r="J1530" i="13" s="1"/>
  <c r="I1524" i="13"/>
  <c r="J1524" i="13" s="1"/>
  <c r="I1517" i="13"/>
  <c r="J1517" i="13" s="1"/>
  <c r="I1502" i="13"/>
  <c r="J1502" i="13" s="1"/>
  <c r="I1546" i="13"/>
  <c r="J1546" i="13" s="1"/>
  <c r="I1545" i="13"/>
  <c r="J1545" i="13" s="1"/>
  <c r="I1505" i="13"/>
  <c r="J1505" i="13" s="1"/>
  <c r="I1500" i="13"/>
  <c r="J1500" i="13" s="1"/>
  <c r="I1532" i="13"/>
  <c r="J1532" i="13" s="1"/>
  <c r="I1534" i="13"/>
  <c r="J1534" i="13" s="1"/>
  <c r="I1523" i="13"/>
  <c r="J1523" i="13" s="1"/>
  <c r="I1507" i="13"/>
  <c r="J1507" i="13" s="1"/>
  <c r="I1513" i="13"/>
  <c r="J1513" i="13" s="1"/>
  <c r="I1549" i="13"/>
  <c r="J1549" i="13" s="1"/>
  <c r="I1540" i="13"/>
  <c r="J1540" i="13" s="1"/>
  <c r="I1543" i="13"/>
  <c r="J1543" i="13" s="1"/>
  <c r="I1535" i="13"/>
  <c r="J1535" i="13" s="1"/>
  <c r="I1504" i="13"/>
  <c r="J1504" i="13" s="1"/>
  <c r="I1529" i="13"/>
  <c r="J1529" i="13" s="1"/>
  <c r="I1515" i="13"/>
  <c r="J1515" i="13" s="1"/>
  <c r="I1533" i="13"/>
  <c r="J1533" i="13" s="1"/>
  <c r="I1518" i="13"/>
  <c r="J1518" i="13" s="1"/>
  <c r="I1512" i="13"/>
  <c r="J1512" i="13" s="1"/>
  <c r="I1542" i="13"/>
  <c r="J1542" i="13" s="1"/>
  <c r="M1841" i="13"/>
  <c r="H1901" i="13"/>
  <c r="G1871" i="20"/>
  <c r="G971" i="20"/>
  <c r="G521" i="20"/>
  <c r="G1241" i="20"/>
  <c r="I1192" i="13"/>
  <c r="J1192" i="13" s="1"/>
  <c r="I1152" i="13"/>
  <c r="I1176" i="13"/>
  <c r="J1176" i="13" s="1"/>
  <c r="I1187" i="13"/>
  <c r="J1187" i="13" s="1"/>
  <c r="I1185" i="13"/>
  <c r="J1185" i="13" s="1"/>
  <c r="I1189" i="13"/>
  <c r="J1189" i="13" s="1"/>
  <c r="I1166" i="13"/>
  <c r="J1166" i="13" s="1"/>
  <c r="I1202" i="13"/>
  <c r="J1202" i="13" s="1"/>
  <c r="I1154" i="13"/>
  <c r="I1147" i="13"/>
  <c r="I1164" i="13"/>
  <c r="J1164" i="13" s="1"/>
  <c r="I1173" i="13"/>
  <c r="J1173" i="13" s="1"/>
  <c r="I1163" i="13"/>
  <c r="J1163" i="13" s="1"/>
  <c r="I1191" i="13"/>
  <c r="J1191" i="13" s="1"/>
  <c r="I1153" i="13"/>
  <c r="I1161" i="13"/>
  <c r="J1161" i="13" s="1"/>
  <c r="I1200" i="13"/>
  <c r="J1200" i="13" s="1"/>
  <c r="I1181" i="13"/>
  <c r="J1181" i="13" s="1"/>
  <c r="I1158" i="13"/>
  <c r="J1158" i="13" s="1"/>
  <c r="I1157" i="13"/>
  <c r="J1157" i="13" s="1"/>
  <c r="I1194" i="13"/>
  <c r="J1194" i="13" s="1"/>
  <c r="I1204" i="13"/>
  <c r="J1204" i="13" s="1"/>
  <c r="I1184" i="13"/>
  <c r="J1184" i="13" s="1"/>
  <c r="I1186" i="13"/>
  <c r="J1186" i="13" s="1"/>
  <c r="I1172" i="13"/>
  <c r="J1172" i="13" s="1"/>
  <c r="I1193" i="13"/>
  <c r="J1193" i="13" s="1"/>
  <c r="I1183" i="13"/>
  <c r="J1183" i="13" s="1"/>
  <c r="I1146" i="13"/>
  <c r="I1149" i="13"/>
  <c r="I1169" i="13"/>
  <c r="J1169" i="13" s="1"/>
  <c r="I1160" i="13"/>
  <c r="J1160" i="13" s="1"/>
  <c r="I1150" i="13"/>
  <c r="I1155" i="13"/>
  <c r="J1155" i="13" s="1"/>
  <c r="I1177" i="13"/>
  <c r="J1177" i="13" s="1"/>
  <c r="I1171" i="13"/>
  <c r="J1171" i="13" s="1"/>
  <c r="I1179" i="13"/>
  <c r="J1179" i="13" s="1"/>
  <c r="I1162" i="13"/>
  <c r="J1162" i="13" s="1"/>
  <c r="I1167" i="13"/>
  <c r="J1167" i="13" s="1"/>
  <c r="I1165" i="13"/>
  <c r="J1165" i="13" s="1"/>
  <c r="I1145" i="13"/>
  <c r="I1190" i="13"/>
  <c r="J1190" i="13" s="1"/>
  <c r="I1203" i="13"/>
  <c r="J1203" i="13" s="1"/>
  <c r="I1168" i="13"/>
  <c r="J1168" i="13" s="1"/>
  <c r="I1156" i="13"/>
  <c r="J1156" i="13" s="1"/>
  <c r="I1188" i="13"/>
  <c r="J1188" i="13" s="1"/>
  <c r="I1197" i="13"/>
  <c r="J1197" i="13" s="1"/>
  <c r="I1195" i="13"/>
  <c r="J1195" i="13" s="1"/>
  <c r="I1151" i="13"/>
  <c r="I1159" i="13"/>
  <c r="J1159" i="13" s="1"/>
  <c r="I1201" i="13"/>
  <c r="J1201" i="13" s="1"/>
  <c r="I1148" i="13"/>
  <c r="I1196" i="13"/>
  <c r="J1196" i="13" s="1"/>
  <c r="I1178" i="13"/>
  <c r="J1178" i="13" s="1"/>
  <c r="I1182" i="13"/>
  <c r="J1182" i="13" s="1"/>
  <c r="I1199" i="13"/>
  <c r="J1199" i="13" s="1"/>
  <c r="I1180" i="13"/>
  <c r="J1180" i="13" s="1"/>
  <c r="I1198" i="13"/>
  <c r="J1198" i="13" s="1"/>
  <c r="I1175" i="13"/>
  <c r="J1175" i="13" s="1"/>
  <c r="I1170" i="13"/>
  <c r="J1170" i="13" s="1"/>
  <c r="I1174" i="13"/>
  <c r="J1174" i="13" s="1"/>
  <c r="M631" i="13"/>
  <c r="M612" i="13"/>
  <c r="M613" i="13" s="1"/>
  <c r="I625" i="13"/>
  <c r="I636" i="13"/>
  <c r="J636" i="13" s="1"/>
  <c r="I645" i="13"/>
  <c r="J645" i="13" s="1"/>
  <c r="I627" i="13"/>
  <c r="I623" i="13"/>
  <c r="I673" i="13"/>
  <c r="J673" i="13" s="1"/>
  <c r="I681" i="13"/>
  <c r="J681" i="13" s="1"/>
  <c r="I658" i="13"/>
  <c r="J658" i="13" s="1"/>
  <c r="I635" i="13"/>
  <c r="J635" i="13" s="1"/>
  <c r="I644" i="13"/>
  <c r="J644" i="13" s="1"/>
  <c r="I653" i="13"/>
  <c r="J653" i="13" s="1"/>
  <c r="I631" i="13"/>
  <c r="I632" i="13"/>
  <c r="J632" i="13" s="1"/>
  <c r="I656" i="13"/>
  <c r="J656" i="13" s="1"/>
  <c r="I640" i="13"/>
  <c r="J640" i="13" s="1"/>
  <c r="I626" i="13"/>
  <c r="I643" i="13"/>
  <c r="J643" i="13" s="1"/>
  <c r="I652" i="13"/>
  <c r="J652" i="13" s="1"/>
  <c r="I661" i="13"/>
  <c r="J661" i="13" s="1"/>
  <c r="I639" i="13"/>
  <c r="J639" i="13" s="1"/>
  <c r="I648" i="13"/>
  <c r="J648" i="13" s="1"/>
  <c r="I678" i="13"/>
  <c r="J678" i="13" s="1"/>
  <c r="I664" i="13"/>
  <c r="J664" i="13" s="1"/>
  <c r="I651" i="13"/>
  <c r="J651" i="13" s="1"/>
  <c r="I660" i="13"/>
  <c r="J660" i="13" s="1"/>
  <c r="I669" i="13"/>
  <c r="J669" i="13" s="1"/>
  <c r="I647" i="13"/>
  <c r="J647" i="13" s="1"/>
  <c r="I670" i="13"/>
  <c r="J670" i="13" s="1"/>
  <c r="I624" i="13"/>
  <c r="I641" i="13"/>
  <c r="J641" i="13" s="1"/>
  <c r="I659" i="13"/>
  <c r="J659" i="13" s="1"/>
  <c r="I668" i="13"/>
  <c r="J668" i="13" s="1"/>
  <c r="I677" i="13"/>
  <c r="J677" i="13" s="1"/>
  <c r="I655" i="13"/>
  <c r="J655" i="13" s="1"/>
  <c r="I649" i="13"/>
  <c r="J649" i="13" s="1"/>
  <c r="I657" i="13"/>
  <c r="J657" i="13" s="1"/>
  <c r="I665" i="13"/>
  <c r="J665" i="13" s="1"/>
  <c r="I634" i="13"/>
  <c r="J634" i="13" s="1"/>
  <c r="I666" i="13"/>
  <c r="J666" i="13" s="1"/>
  <c r="I667" i="13"/>
  <c r="J667" i="13" s="1"/>
  <c r="I676" i="13"/>
  <c r="J676" i="13" s="1"/>
  <c r="I662" i="13"/>
  <c r="J662" i="13" s="1"/>
  <c r="I680" i="13"/>
  <c r="J680" i="13" s="1"/>
  <c r="I672" i="13"/>
  <c r="J672" i="13" s="1"/>
  <c r="I633" i="13"/>
  <c r="J633" i="13" s="1"/>
  <c r="I674" i="13"/>
  <c r="J674" i="13" s="1"/>
  <c r="I675" i="13"/>
  <c r="J675" i="13" s="1"/>
  <c r="I629" i="13"/>
  <c r="I638" i="13"/>
  <c r="J638" i="13" s="1"/>
  <c r="I630" i="13"/>
  <c r="I663" i="13"/>
  <c r="J663" i="13" s="1"/>
  <c r="I642" i="13"/>
  <c r="J642" i="13" s="1"/>
  <c r="I682" i="13"/>
  <c r="J682" i="13" s="1"/>
  <c r="I628" i="13"/>
  <c r="I637" i="13"/>
  <c r="J637" i="13" s="1"/>
  <c r="I646" i="13"/>
  <c r="J646" i="13" s="1"/>
  <c r="I679" i="13"/>
  <c r="J679" i="13" s="1"/>
  <c r="I671" i="13"/>
  <c r="J671" i="13" s="1"/>
  <c r="I654" i="13"/>
  <c r="J654" i="13" s="1"/>
  <c r="I650" i="13"/>
  <c r="J650" i="13" s="1"/>
  <c r="M372" i="13"/>
  <c r="M351" i="13"/>
  <c r="M352" i="13" s="1"/>
  <c r="M1847" i="13"/>
  <c r="M1830" i="13"/>
  <c r="M1831" i="13" s="1"/>
  <c r="H596" i="13"/>
  <c r="M536" i="13"/>
  <c r="M459" i="13"/>
  <c r="M438" i="13"/>
  <c r="M439" i="13" s="1"/>
  <c r="M449" i="13"/>
  <c r="H509" i="13"/>
  <c r="I1335" i="13"/>
  <c r="J1335" i="13" s="1"/>
  <c r="I1337" i="13"/>
  <c r="J1337" i="13" s="1"/>
  <c r="I1338" i="13"/>
  <c r="J1338" i="13" s="1"/>
  <c r="I1339" i="13"/>
  <c r="J1339" i="13" s="1"/>
  <c r="I1356" i="13"/>
  <c r="J1356" i="13" s="1"/>
  <c r="I1349" i="13"/>
  <c r="J1349" i="13" s="1"/>
  <c r="I1366" i="13"/>
  <c r="J1366" i="13" s="1"/>
  <c r="I1359" i="13"/>
  <c r="J1359" i="13" s="1"/>
  <c r="I1344" i="13"/>
  <c r="J1344" i="13" s="1"/>
  <c r="I1345" i="13"/>
  <c r="J1345" i="13" s="1"/>
  <c r="I1346" i="13"/>
  <c r="J1346" i="13" s="1"/>
  <c r="I1347" i="13"/>
  <c r="J1347" i="13" s="1"/>
  <c r="I1364" i="13"/>
  <c r="J1364" i="13" s="1"/>
  <c r="I1357" i="13"/>
  <c r="J1357" i="13" s="1"/>
  <c r="I1375" i="13"/>
  <c r="J1375" i="13" s="1"/>
  <c r="I1351" i="13"/>
  <c r="J1351" i="13" s="1"/>
  <c r="I1352" i="13"/>
  <c r="J1352" i="13" s="1"/>
  <c r="I1353" i="13"/>
  <c r="J1353" i="13" s="1"/>
  <c r="I1354" i="13"/>
  <c r="J1354" i="13" s="1"/>
  <c r="I1355" i="13"/>
  <c r="J1355" i="13" s="1"/>
  <c r="I1372" i="13"/>
  <c r="J1372" i="13" s="1"/>
  <c r="I1374" i="13"/>
  <c r="J1374" i="13" s="1"/>
  <c r="I1367" i="13"/>
  <c r="J1367" i="13" s="1"/>
  <c r="I1360" i="13"/>
  <c r="J1360" i="13" s="1"/>
  <c r="I1361" i="13"/>
  <c r="J1361" i="13" s="1"/>
  <c r="I1362" i="13"/>
  <c r="J1362" i="13" s="1"/>
  <c r="I1363" i="13"/>
  <c r="J1363" i="13" s="1"/>
  <c r="I1365" i="13"/>
  <c r="J1365" i="13" s="1"/>
  <c r="I1326" i="13"/>
  <c r="I1376" i="13"/>
  <c r="J1376" i="13" s="1"/>
  <c r="I1368" i="13"/>
  <c r="J1368" i="13" s="1"/>
  <c r="I1369" i="13"/>
  <c r="J1369" i="13" s="1"/>
  <c r="I1370" i="13"/>
  <c r="J1370" i="13" s="1"/>
  <c r="I1371" i="13"/>
  <c r="J1371" i="13" s="1"/>
  <c r="I1332" i="13"/>
  <c r="J1332" i="13" s="1"/>
  <c r="I1334" i="13"/>
  <c r="J1334" i="13" s="1"/>
  <c r="I1373" i="13"/>
  <c r="J1373" i="13" s="1"/>
  <c r="I1377" i="13"/>
  <c r="J1377" i="13" s="1"/>
  <c r="I1378" i="13"/>
  <c r="J1378" i="13" s="1"/>
  <c r="I1320" i="13"/>
  <c r="I1321" i="13"/>
  <c r="I1325" i="13"/>
  <c r="I1342" i="13"/>
  <c r="J1342" i="13" s="1"/>
  <c r="I1327" i="13"/>
  <c r="I1322" i="13"/>
  <c r="I1323" i="13"/>
  <c r="I1319" i="13"/>
  <c r="I1324" i="13"/>
  <c r="I1340" i="13"/>
  <c r="J1340" i="13" s="1"/>
  <c r="I1333" i="13"/>
  <c r="J1333" i="13" s="1"/>
  <c r="I1350" i="13"/>
  <c r="J1350" i="13" s="1"/>
  <c r="I1336" i="13"/>
  <c r="J1336" i="13" s="1"/>
  <c r="I1328" i="13"/>
  <c r="J1328" i="13" s="1"/>
  <c r="I1329" i="13"/>
  <c r="J1329" i="13" s="1"/>
  <c r="I1330" i="13"/>
  <c r="J1330" i="13" s="1"/>
  <c r="I1331" i="13"/>
  <c r="J1331" i="13" s="1"/>
  <c r="I1348" i="13"/>
  <c r="J1348" i="13" s="1"/>
  <c r="I1341" i="13"/>
  <c r="J1341" i="13" s="1"/>
  <c r="I1358" i="13"/>
  <c r="J1358" i="13" s="1"/>
  <c r="I1343" i="13"/>
  <c r="J1343" i="13" s="1"/>
  <c r="H1031" i="13"/>
  <c r="M981" i="13"/>
  <c r="M960" i="13"/>
  <c r="M961" i="13" s="1"/>
  <c r="I819" i="13"/>
  <c r="J819" i="13" s="1"/>
  <c r="I820" i="13"/>
  <c r="J820" i="13" s="1"/>
  <c r="I821" i="13"/>
  <c r="J821" i="13" s="1"/>
  <c r="I822" i="13"/>
  <c r="J822" i="13" s="1"/>
  <c r="I823" i="13"/>
  <c r="J823" i="13" s="1"/>
  <c r="I816" i="13"/>
  <c r="J816" i="13" s="1"/>
  <c r="I817" i="13"/>
  <c r="J817" i="13" s="1"/>
  <c r="I843" i="13"/>
  <c r="J843" i="13" s="1"/>
  <c r="I827" i="13"/>
  <c r="J827" i="13" s="1"/>
  <c r="I828" i="13"/>
  <c r="J828" i="13" s="1"/>
  <c r="I829" i="13"/>
  <c r="J829" i="13" s="1"/>
  <c r="I830" i="13"/>
  <c r="J830" i="13" s="1"/>
  <c r="I831" i="13"/>
  <c r="J831" i="13" s="1"/>
  <c r="I824" i="13"/>
  <c r="J824" i="13" s="1"/>
  <c r="I825" i="13"/>
  <c r="J825" i="13" s="1"/>
  <c r="I798" i="13"/>
  <c r="I835" i="13"/>
  <c r="J835" i="13" s="1"/>
  <c r="I836" i="13"/>
  <c r="J836" i="13" s="1"/>
  <c r="I837" i="13"/>
  <c r="J837" i="13" s="1"/>
  <c r="I838" i="13"/>
  <c r="J838" i="13" s="1"/>
  <c r="I839" i="13"/>
  <c r="J839" i="13" s="1"/>
  <c r="I832" i="13"/>
  <c r="J832" i="13" s="1"/>
  <c r="I833" i="13"/>
  <c r="J833" i="13" s="1"/>
  <c r="I852" i="13"/>
  <c r="J852" i="13" s="1"/>
  <c r="I844" i="13"/>
  <c r="J844" i="13" s="1"/>
  <c r="I845" i="13"/>
  <c r="J845" i="13" s="1"/>
  <c r="I846" i="13"/>
  <c r="J846" i="13" s="1"/>
  <c r="I847" i="13"/>
  <c r="J847" i="13" s="1"/>
  <c r="I840" i="13"/>
  <c r="J840" i="13" s="1"/>
  <c r="I841" i="13"/>
  <c r="J841" i="13" s="1"/>
  <c r="I800" i="13"/>
  <c r="I853" i="13"/>
  <c r="J853" i="13" s="1"/>
  <c r="I854" i="13"/>
  <c r="J854" i="13" s="1"/>
  <c r="I855" i="13"/>
  <c r="J855" i="13" s="1"/>
  <c r="I856" i="13"/>
  <c r="J856" i="13" s="1"/>
  <c r="I848" i="13"/>
  <c r="J848" i="13" s="1"/>
  <c r="I849" i="13"/>
  <c r="J849" i="13" s="1"/>
  <c r="I826" i="13"/>
  <c r="J826" i="13" s="1"/>
  <c r="I797" i="13"/>
  <c r="I799" i="13"/>
  <c r="I801" i="13"/>
  <c r="I810" i="13"/>
  <c r="J810" i="13" s="1"/>
  <c r="I802" i="13"/>
  <c r="I851" i="13"/>
  <c r="J851" i="13" s="1"/>
  <c r="I803" i="13"/>
  <c r="I805" i="13"/>
  <c r="I804" i="13"/>
  <c r="I806" i="13"/>
  <c r="I807" i="13"/>
  <c r="J807" i="13" s="1"/>
  <c r="I834" i="13"/>
  <c r="J834" i="13" s="1"/>
  <c r="I818" i="13"/>
  <c r="J818" i="13" s="1"/>
  <c r="I842" i="13"/>
  <c r="J842" i="13" s="1"/>
  <c r="I811" i="13"/>
  <c r="J811" i="13" s="1"/>
  <c r="I812" i="13"/>
  <c r="J812" i="13" s="1"/>
  <c r="I813" i="13"/>
  <c r="J813" i="13" s="1"/>
  <c r="I814" i="13"/>
  <c r="J814" i="13" s="1"/>
  <c r="I815" i="13"/>
  <c r="J815" i="13" s="1"/>
  <c r="I808" i="13"/>
  <c r="J808" i="13" s="1"/>
  <c r="I809" i="13"/>
  <c r="J809" i="13" s="1"/>
  <c r="I850" i="13"/>
  <c r="J850" i="13" s="1"/>
  <c r="I1958" i="13"/>
  <c r="J1958" i="13" s="1"/>
  <c r="I1967" i="13"/>
  <c r="J1967" i="13" s="1"/>
  <c r="I1968" i="13"/>
  <c r="J1968" i="13" s="1"/>
  <c r="I1945" i="13"/>
  <c r="J1945" i="13" s="1"/>
  <c r="I1983" i="13"/>
  <c r="J1983" i="13" s="1"/>
  <c r="I1969" i="13"/>
  <c r="J1969" i="13" s="1"/>
  <c r="I1961" i="13"/>
  <c r="J1961" i="13" s="1"/>
  <c r="I1966" i="13"/>
  <c r="J1966" i="13" s="1"/>
  <c r="I1975" i="13"/>
  <c r="J1975" i="13" s="1"/>
  <c r="I1976" i="13"/>
  <c r="J1976" i="13" s="1"/>
  <c r="I1974" i="13"/>
  <c r="J1974" i="13" s="1"/>
  <c r="I1933" i="13"/>
  <c r="J1933" i="13" s="1"/>
  <c r="I1978" i="13"/>
  <c r="J1978" i="13" s="1"/>
  <c r="I1970" i="13"/>
  <c r="J1970" i="13" s="1"/>
  <c r="I1954" i="13"/>
  <c r="J1954" i="13" s="1"/>
  <c r="I1955" i="13"/>
  <c r="J1955" i="13" s="1"/>
  <c r="I1956" i="13"/>
  <c r="J1956" i="13" s="1"/>
  <c r="I1965" i="13"/>
  <c r="J1965" i="13" s="1"/>
  <c r="I1982" i="13"/>
  <c r="J1982" i="13" s="1"/>
  <c r="I1977" i="13"/>
  <c r="J1977" i="13" s="1"/>
  <c r="I1987" i="13"/>
  <c r="J1987" i="13" s="1"/>
  <c r="I1979" i="13"/>
  <c r="J1979" i="13" s="1"/>
  <c r="I1962" i="13"/>
  <c r="J1962" i="13" s="1"/>
  <c r="I1963" i="13"/>
  <c r="J1963" i="13" s="1"/>
  <c r="I1964" i="13"/>
  <c r="J1964" i="13" s="1"/>
  <c r="I1973" i="13"/>
  <c r="J1973" i="13" s="1"/>
  <c r="I1936" i="13"/>
  <c r="J1936" i="13" s="1"/>
  <c r="I1986" i="13"/>
  <c r="J1986" i="13" s="1"/>
  <c r="I1932" i="13"/>
  <c r="I1931" i="13"/>
  <c r="I1971" i="13"/>
  <c r="J1971" i="13" s="1"/>
  <c r="I1972" i="13"/>
  <c r="J1972" i="13" s="1"/>
  <c r="I1981" i="13"/>
  <c r="J1981" i="13" s="1"/>
  <c r="I1935" i="13"/>
  <c r="J1935" i="13" s="1"/>
  <c r="I1985" i="13"/>
  <c r="J1985" i="13" s="1"/>
  <c r="I1930" i="13"/>
  <c r="I1940" i="13"/>
  <c r="J1940" i="13" s="1"/>
  <c r="I1949" i="13"/>
  <c r="J1949" i="13" s="1"/>
  <c r="I1980" i="13"/>
  <c r="J1980" i="13" s="1"/>
  <c r="I1934" i="13"/>
  <c r="J1934" i="13" s="1"/>
  <c r="I1943" i="13"/>
  <c r="J1943" i="13" s="1"/>
  <c r="I1944" i="13"/>
  <c r="J1944" i="13" s="1"/>
  <c r="I1928" i="13"/>
  <c r="I1939" i="13"/>
  <c r="J1939" i="13" s="1"/>
  <c r="I1948" i="13"/>
  <c r="J1948" i="13" s="1"/>
  <c r="I1941" i="13"/>
  <c r="J1941" i="13" s="1"/>
  <c r="I1942" i="13"/>
  <c r="J1942" i="13" s="1"/>
  <c r="I1951" i="13"/>
  <c r="J1951" i="13" s="1"/>
  <c r="I1952" i="13"/>
  <c r="J1952" i="13" s="1"/>
  <c r="I1929" i="13"/>
  <c r="I1938" i="13"/>
  <c r="J1938" i="13" s="1"/>
  <c r="I1947" i="13"/>
  <c r="J1947" i="13" s="1"/>
  <c r="I1957" i="13"/>
  <c r="J1957" i="13" s="1"/>
  <c r="I1950" i="13"/>
  <c r="J1950" i="13" s="1"/>
  <c r="I1959" i="13"/>
  <c r="J1959" i="13" s="1"/>
  <c r="I1960" i="13"/>
  <c r="J1960" i="13" s="1"/>
  <c r="I1937" i="13"/>
  <c r="J1937" i="13" s="1"/>
  <c r="I1946" i="13"/>
  <c r="J1946" i="13" s="1"/>
  <c r="I1984" i="13"/>
  <c r="J1984" i="13" s="1"/>
  <c r="I1953" i="13"/>
  <c r="J1953" i="13" s="1"/>
  <c r="M1928" i="13"/>
  <c r="H1988" i="13"/>
  <c r="G791" i="20"/>
  <c r="G251" i="20"/>
  <c r="H683" i="13"/>
  <c r="M623" i="13"/>
  <c r="M1319" i="13"/>
  <c r="H1379" i="13"/>
  <c r="M1762" i="13"/>
  <c r="M1743" i="13"/>
  <c r="M1744" i="13" s="1"/>
  <c r="I198" i="13"/>
  <c r="I215" i="13"/>
  <c r="J215" i="13" s="1"/>
  <c r="I197" i="13"/>
  <c r="I214" i="13"/>
  <c r="J214" i="13" s="1"/>
  <c r="I243" i="13"/>
  <c r="J243" i="13" s="1"/>
  <c r="I218" i="13"/>
  <c r="J218" i="13" s="1"/>
  <c r="I235" i="13"/>
  <c r="J235" i="13" s="1"/>
  <c r="I239" i="13"/>
  <c r="J239" i="13" s="1"/>
  <c r="I209" i="13"/>
  <c r="J209" i="13" s="1"/>
  <c r="I234" i="13"/>
  <c r="J234" i="13" s="1"/>
  <c r="I200" i="13"/>
  <c r="J200" i="13" s="1"/>
  <c r="I225" i="13"/>
  <c r="J225" i="13" s="1"/>
  <c r="I191" i="13"/>
  <c r="I187" i="13"/>
  <c r="I206" i="13"/>
  <c r="J206" i="13" s="1"/>
  <c r="I189" i="13"/>
  <c r="I205" i="13"/>
  <c r="J205" i="13" s="1"/>
  <c r="I238" i="13"/>
  <c r="J238" i="13" s="1"/>
  <c r="I211" i="13"/>
  <c r="J211" i="13" s="1"/>
  <c r="I204" i="13"/>
  <c r="J204" i="13" s="1"/>
  <c r="I203" i="13"/>
  <c r="J203" i="13" s="1"/>
  <c r="I217" i="13"/>
  <c r="J217" i="13" s="1"/>
  <c r="I242" i="13"/>
  <c r="J242" i="13" s="1"/>
  <c r="I208" i="13"/>
  <c r="J208" i="13" s="1"/>
  <c r="I233" i="13"/>
  <c r="J233" i="13" s="1"/>
  <c r="I245" i="13"/>
  <c r="J245" i="13" s="1"/>
  <c r="I199" i="13"/>
  <c r="I237" i="13"/>
  <c r="J237" i="13" s="1"/>
  <c r="I196" i="13"/>
  <c r="I213" i="13"/>
  <c r="J213" i="13" s="1"/>
  <c r="I219" i="13"/>
  <c r="J219" i="13" s="1"/>
  <c r="I212" i="13"/>
  <c r="J212" i="13" s="1"/>
  <c r="I220" i="13"/>
  <c r="J220" i="13" s="1"/>
  <c r="I246" i="13"/>
  <c r="J246" i="13" s="1"/>
  <c r="I224" i="13"/>
  <c r="J224" i="13" s="1"/>
  <c r="I188" i="13"/>
  <c r="I216" i="13"/>
  <c r="J216" i="13" s="1"/>
  <c r="I244" i="13"/>
  <c r="J244" i="13" s="1"/>
  <c r="I228" i="13"/>
  <c r="J228" i="13" s="1"/>
  <c r="I229" i="13"/>
  <c r="J229" i="13" s="1"/>
  <c r="I221" i="13"/>
  <c r="J221" i="13" s="1"/>
  <c r="I202" i="13"/>
  <c r="J202" i="13" s="1"/>
  <c r="I210" i="13"/>
  <c r="J210" i="13" s="1"/>
  <c r="I227" i="13"/>
  <c r="J227" i="13" s="1"/>
  <c r="I241" i="13"/>
  <c r="J241" i="13" s="1"/>
  <c r="I193" i="13"/>
  <c r="I190" i="13"/>
  <c r="I207" i="13"/>
  <c r="J207" i="13" s="1"/>
  <c r="I230" i="13"/>
  <c r="J230" i="13" s="1"/>
  <c r="I222" i="13"/>
  <c r="J222" i="13" s="1"/>
  <c r="I223" i="13"/>
  <c r="J223" i="13" s="1"/>
  <c r="I232" i="13"/>
  <c r="J232" i="13" s="1"/>
  <c r="I195" i="13"/>
  <c r="I236" i="13"/>
  <c r="J236" i="13" s="1"/>
  <c r="I201" i="13"/>
  <c r="J201" i="13" s="1"/>
  <c r="I226" i="13"/>
  <c r="J226" i="13" s="1"/>
  <c r="I192" i="13"/>
  <c r="I231" i="13"/>
  <c r="J231" i="13" s="1"/>
  <c r="I240" i="13"/>
  <c r="J240" i="13" s="1"/>
  <c r="I194" i="13"/>
  <c r="I1631" i="13"/>
  <c r="J1631" i="13" s="1"/>
  <c r="I1608" i="13"/>
  <c r="J1608" i="13" s="1"/>
  <c r="I1617" i="13"/>
  <c r="J1617" i="13" s="1"/>
  <c r="I1635" i="13"/>
  <c r="J1635" i="13" s="1"/>
  <c r="I1636" i="13"/>
  <c r="J1636" i="13" s="1"/>
  <c r="I1582" i="13"/>
  <c r="I1618" i="13"/>
  <c r="J1618" i="13" s="1"/>
  <c r="I1584" i="13"/>
  <c r="I1639" i="13"/>
  <c r="J1639" i="13" s="1"/>
  <c r="I1616" i="13"/>
  <c r="J1616" i="13" s="1"/>
  <c r="I1625" i="13"/>
  <c r="J1625" i="13" s="1"/>
  <c r="I1585" i="13"/>
  <c r="I1581" i="13"/>
  <c r="I1591" i="13"/>
  <c r="J1591" i="13" s="1"/>
  <c r="I1597" i="13"/>
  <c r="J1597" i="13" s="1"/>
  <c r="I1619" i="13"/>
  <c r="J1619" i="13" s="1"/>
  <c r="I1624" i="13"/>
  <c r="J1624" i="13" s="1"/>
  <c r="I1633" i="13"/>
  <c r="J1633" i="13" s="1"/>
  <c r="I1587" i="13"/>
  <c r="I1589" i="13"/>
  <c r="J1589" i="13" s="1"/>
  <c r="I1590" i="13"/>
  <c r="J1590" i="13" s="1"/>
  <c r="I1594" i="13"/>
  <c r="J1594" i="13" s="1"/>
  <c r="I1630" i="13"/>
  <c r="J1630" i="13" s="1"/>
  <c r="I1634" i="13"/>
  <c r="J1634" i="13" s="1"/>
  <c r="I1586" i="13"/>
  <c r="I1595" i="13"/>
  <c r="J1595" i="13" s="1"/>
  <c r="I1596" i="13"/>
  <c r="J1596" i="13" s="1"/>
  <c r="I1598" i="13"/>
  <c r="J1598" i="13" s="1"/>
  <c r="I1583" i="13"/>
  <c r="I1602" i="13"/>
  <c r="J1602" i="13" s="1"/>
  <c r="I1603" i="13"/>
  <c r="J1603" i="13" s="1"/>
  <c r="I1615" i="13"/>
  <c r="J1615" i="13" s="1"/>
  <c r="I1604" i="13"/>
  <c r="J1604" i="13" s="1"/>
  <c r="I1605" i="13"/>
  <c r="J1605" i="13" s="1"/>
  <c r="I1606" i="13"/>
  <c r="J1606" i="13" s="1"/>
  <c r="I1580" i="13"/>
  <c r="I1593" i="13"/>
  <c r="J1593" i="13" s="1"/>
  <c r="I1610" i="13"/>
  <c r="J1610" i="13" s="1"/>
  <c r="I1626" i="13"/>
  <c r="J1626" i="13" s="1"/>
  <c r="I1612" i="13"/>
  <c r="J1612" i="13" s="1"/>
  <c r="I1613" i="13"/>
  <c r="J1613" i="13" s="1"/>
  <c r="I1614" i="13"/>
  <c r="J1614" i="13" s="1"/>
  <c r="I1592" i="13"/>
  <c r="J1592" i="13" s="1"/>
  <c r="I1601" i="13"/>
  <c r="J1601" i="13" s="1"/>
  <c r="I1588" i="13"/>
  <c r="I1607" i="13"/>
  <c r="J1607" i="13" s="1"/>
  <c r="I1620" i="13"/>
  <c r="J1620" i="13" s="1"/>
  <c r="I1621" i="13"/>
  <c r="J1621" i="13" s="1"/>
  <c r="I1622" i="13"/>
  <c r="J1622" i="13" s="1"/>
  <c r="I1623" i="13"/>
  <c r="J1623" i="13" s="1"/>
  <c r="I1629" i="13"/>
  <c r="J1629" i="13" s="1"/>
  <c r="I1599" i="13"/>
  <c r="J1599" i="13" s="1"/>
  <c r="I1638" i="13"/>
  <c r="J1638" i="13" s="1"/>
  <c r="I1600" i="13"/>
  <c r="J1600" i="13" s="1"/>
  <c r="I1609" i="13"/>
  <c r="J1609" i="13" s="1"/>
  <c r="I1627" i="13"/>
  <c r="J1627" i="13" s="1"/>
  <c r="I1628" i="13"/>
  <c r="J1628" i="13" s="1"/>
  <c r="I1637" i="13"/>
  <c r="J1637" i="13" s="1"/>
  <c r="I1632" i="13"/>
  <c r="J1632" i="13" s="1"/>
  <c r="I1611" i="13"/>
  <c r="J1611" i="13" s="1"/>
  <c r="M111" i="13"/>
  <c r="M89" i="13"/>
  <c r="I977" i="13"/>
  <c r="I1017" i="13"/>
  <c r="J1017" i="13" s="1"/>
  <c r="I1009" i="13"/>
  <c r="J1009" i="13" s="1"/>
  <c r="I1001" i="13"/>
  <c r="J1001" i="13" s="1"/>
  <c r="I974" i="13"/>
  <c r="I992" i="13"/>
  <c r="J992" i="13" s="1"/>
  <c r="I1027" i="13"/>
  <c r="J1027" i="13" s="1"/>
  <c r="I1016" i="13"/>
  <c r="J1016" i="13" s="1"/>
  <c r="I993" i="13"/>
  <c r="J993" i="13" s="1"/>
  <c r="I1028" i="13"/>
  <c r="J1028" i="13" s="1"/>
  <c r="I1020" i="13"/>
  <c r="J1020" i="13" s="1"/>
  <c r="I1026" i="13"/>
  <c r="J1026" i="13" s="1"/>
  <c r="I1004" i="13"/>
  <c r="J1004" i="13" s="1"/>
  <c r="I980" i="13"/>
  <c r="I1019" i="13"/>
  <c r="J1019" i="13" s="1"/>
  <c r="I1023" i="13"/>
  <c r="J1023" i="13" s="1"/>
  <c r="I1005" i="13"/>
  <c r="J1005" i="13" s="1"/>
  <c r="I982" i="13"/>
  <c r="J982" i="13" s="1"/>
  <c r="I1012" i="13"/>
  <c r="J1012" i="13" s="1"/>
  <c r="I983" i="13"/>
  <c r="J983" i="13" s="1"/>
  <c r="I978" i="13"/>
  <c r="I979" i="13"/>
  <c r="I1008" i="13"/>
  <c r="J1008" i="13" s="1"/>
  <c r="I997" i="13"/>
  <c r="J997" i="13" s="1"/>
  <c r="I1030" i="13"/>
  <c r="J1030" i="13" s="1"/>
  <c r="I976" i="13"/>
  <c r="I990" i="13"/>
  <c r="J990" i="13" s="1"/>
  <c r="I986" i="13"/>
  <c r="J986" i="13" s="1"/>
  <c r="I987" i="13"/>
  <c r="J987" i="13" s="1"/>
  <c r="I1000" i="13"/>
  <c r="J1000" i="13" s="1"/>
  <c r="I985" i="13"/>
  <c r="J985" i="13" s="1"/>
  <c r="I1022" i="13"/>
  <c r="J1022" i="13" s="1"/>
  <c r="I1011" i="13"/>
  <c r="J1011" i="13" s="1"/>
  <c r="I1003" i="13"/>
  <c r="J1003" i="13" s="1"/>
  <c r="I994" i="13"/>
  <c r="J994" i="13" s="1"/>
  <c r="I995" i="13"/>
  <c r="J995" i="13" s="1"/>
  <c r="I991" i="13"/>
  <c r="J991" i="13" s="1"/>
  <c r="I973" i="13"/>
  <c r="I1029" i="13"/>
  <c r="J1029" i="13" s="1"/>
  <c r="I1021" i="13"/>
  <c r="J1021" i="13" s="1"/>
  <c r="I1013" i="13"/>
  <c r="J1013" i="13" s="1"/>
  <c r="I1002" i="13"/>
  <c r="J1002" i="13" s="1"/>
  <c r="I972" i="13"/>
  <c r="I999" i="13"/>
  <c r="J999" i="13" s="1"/>
  <c r="I1014" i="13"/>
  <c r="J1014" i="13" s="1"/>
  <c r="I996" i="13"/>
  <c r="J996" i="13" s="1"/>
  <c r="I984" i="13"/>
  <c r="J984" i="13" s="1"/>
  <c r="I975" i="13"/>
  <c r="I1024" i="13"/>
  <c r="J1024" i="13" s="1"/>
  <c r="I1010" i="13"/>
  <c r="J1010" i="13" s="1"/>
  <c r="I981" i="13"/>
  <c r="I1007" i="13"/>
  <c r="J1007" i="13" s="1"/>
  <c r="I1025" i="13"/>
  <c r="J1025" i="13" s="1"/>
  <c r="I1006" i="13"/>
  <c r="J1006" i="13" s="1"/>
  <c r="I998" i="13"/>
  <c r="J998" i="13" s="1"/>
  <c r="I988" i="13"/>
  <c r="J988" i="13" s="1"/>
  <c r="I1018" i="13"/>
  <c r="J1018" i="13" s="1"/>
  <c r="I989" i="13"/>
  <c r="J989" i="13" s="1"/>
  <c r="I971" i="13"/>
  <c r="I1015" i="13"/>
  <c r="J1015" i="13" s="1"/>
  <c r="I574" i="13"/>
  <c r="J574" i="13" s="1"/>
  <c r="I583" i="13"/>
  <c r="J583" i="13" s="1"/>
  <c r="I593" i="13"/>
  <c r="J593" i="13" s="1"/>
  <c r="I538" i="13"/>
  <c r="I563" i="13"/>
  <c r="J563" i="13" s="1"/>
  <c r="I558" i="13"/>
  <c r="J558" i="13" s="1"/>
  <c r="I576" i="13"/>
  <c r="J576" i="13" s="1"/>
  <c r="I589" i="13"/>
  <c r="J589" i="13" s="1"/>
  <c r="I592" i="13"/>
  <c r="J592" i="13" s="1"/>
  <c r="I564" i="13"/>
  <c r="J564" i="13" s="1"/>
  <c r="I586" i="13"/>
  <c r="J586" i="13" s="1"/>
  <c r="I587" i="13"/>
  <c r="J587" i="13" s="1"/>
  <c r="I557" i="13"/>
  <c r="J557" i="13" s="1"/>
  <c r="I571" i="13"/>
  <c r="J571" i="13" s="1"/>
  <c r="I579" i="13"/>
  <c r="J579" i="13" s="1"/>
  <c r="I541" i="13"/>
  <c r="I536" i="13"/>
  <c r="I567" i="13"/>
  <c r="J567" i="13" s="1"/>
  <c r="I595" i="13"/>
  <c r="J595" i="13" s="1"/>
  <c r="I537" i="13"/>
  <c r="I565" i="13"/>
  <c r="J565" i="13" s="1"/>
  <c r="I549" i="13"/>
  <c r="J549" i="13" s="1"/>
  <c r="I547" i="13"/>
  <c r="J547" i="13" s="1"/>
  <c r="I591" i="13"/>
  <c r="J591" i="13" s="1"/>
  <c r="I546" i="13"/>
  <c r="I585" i="13"/>
  <c r="J585" i="13" s="1"/>
  <c r="I548" i="13"/>
  <c r="J548" i="13" s="1"/>
  <c r="I573" i="13"/>
  <c r="J573" i="13" s="1"/>
  <c r="I542" i="13"/>
  <c r="I582" i="13"/>
  <c r="J582" i="13" s="1"/>
  <c r="I540" i="13"/>
  <c r="I555" i="13"/>
  <c r="J555" i="13" s="1"/>
  <c r="I594" i="13"/>
  <c r="J594" i="13" s="1"/>
  <c r="I543" i="13"/>
  <c r="I551" i="13"/>
  <c r="J551" i="13" s="1"/>
  <c r="I552" i="13"/>
  <c r="J552" i="13" s="1"/>
  <c r="I544" i="13"/>
  <c r="I566" i="13"/>
  <c r="J566" i="13" s="1"/>
  <c r="I545" i="13"/>
  <c r="I575" i="13"/>
  <c r="J575" i="13" s="1"/>
  <c r="I556" i="13"/>
  <c r="J556" i="13" s="1"/>
  <c r="I559" i="13"/>
  <c r="J559" i="13" s="1"/>
  <c r="I560" i="13"/>
  <c r="J560" i="13" s="1"/>
  <c r="I561" i="13"/>
  <c r="J561" i="13" s="1"/>
  <c r="I590" i="13"/>
  <c r="J590" i="13" s="1"/>
  <c r="I578" i="13"/>
  <c r="J578" i="13" s="1"/>
  <c r="I554" i="13"/>
  <c r="J554" i="13" s="1"/>
  <c r="I584" i="13"/>
  <c r="J584" i="13" s="1"/>
  <c r="I550" i="13"/>
  <c r="J550" i="13" s="1"/>
  <c r="I572" i="13"/>
  <c r="J572" i="13" s="1"/>
  <c r="I581" i="13"/>
  <c r="J581" i="13" s="1"/>
  <c r="I553" i="13"/>
  <c r="J553" i="13" s="1"/>
  <c r="I577" i="13"/>
  <c r="J577" i="13" s="1"/>
  <c r="I580" i="13"/>
  <c r="J580" i="13" s="1"/>
  <c r="I588" i="13"/>
  <c r="J588" i="13" s="1"/>
  <c r="I539" i="13"/>
  <c r="I568" i="13"/>
  <c r="J568" i="13" s="1"/>
  <c r="I569" i="13"/>
  <c r="J569" i="13" s="1"/>
  <c r="I570" i="13"/>
  <c r="J570" i="13" s="1"/>
  <c r="I562" i="13"/>
  <c r="J562" i="13" s="1"/>
  <c r="I467" i="13"/>
  <c r="J467" i="13" s="1"/>
  <c r="I505" i="13"/>
  <c r="J505" i="13" s="1"/>
  <c r="I498" i="13"/>
  <c r="J498" i="13" s="1"/>
  <c r="I499" i="13"/>
  <c r="J499" i="13" s="1"/>
  <c r="I500" i="13"/>
  <c r="J500" i="13" s="1"/>
  <c r="I501" i="13"/>
  <c r="J501" i="13" s="1"/>
  <c r="I486" i="13"/>
  <c r="J486" i="13" s="1"/>
  <c r="I459" i="13"/>
  <c r="I449" i="13"/>
  <c r="I506" i="13"/>
  <c r="J506" i="13" s="1"/>
  <c r="I507" i="13"/>
  <c r="J507" i="13" s="1"/>
  <c r="I508" i="13"/>
  <c r="J508" i="13" s="1"/>
  <c r="I494" i="13"/>
  <c r="J494" i="13" s="1"/>
  <c r="I503" i="13"/>
  <c r="J503" i="13" s="1"/>
  <c r="I472" i="13"/>
  <c r="J472" i="13" s="1"/>
  <c r="I479" i="13"/>
  <c r="J479" i="13" s="1"/>
  <c r="I468" i="13"/>
  <c r="J468" i="13" s="1"/>
  <c r="I451" i="13"/>
  <c r="I450" i="13"/>
  <c r="I455" i="13"/>
  <c r="I464" i="13"/>
  <c r="J464" i="13" s="1"/>
  <c r="I465" i="13"/>
  <c r="J465" i="13" s="1"/>
  <c r="I480" i="13"/>
  <c r="J480" i="13" s="1"/>
  <c r="I454" i="13"/>
  <c r="I460" i="13"/>
  <c r="J460" i="13" s="1"/>
  <c r="I469" i="13"/>
  <c r="J469" i="13" s="1"/>
  <c r="I461" i="13"/>
  <c r="J461" i="13" s="1"/>
  <c r="I502" i="13"/>
  <c r="J502" i="13" s="1"/>
  <c r="I456" i="13"/>
  <c r="I457" i="13"/>
  <c r="I488" i="13"/>
  <c r="J488" i="13" s="1"/>
  <c r="I473" i="13"/>
  <c r="J473" i="13" s="1"/>
  <c r="I458" i="13"/>
  <c r="I471" i="13"/>
  <c r="J471" i="13" s="1"/>
  <c r="I487" i="13"/>
  <c r="J487" i="13" s="1"/>
  <c r="I495" i="13"/>
  <c r="J495" i="13" s="1"/>
  <c r="I452" i="13"/>
  <c r="I463" i="13"/>
  <c r="J463" i="13" s="1"/>
  <c r="I496" i="13"/>
  <c r="J496" i="13" s="1"/>
  <c r="I481" i="13"/>
  <c r="J481" i="13" s="1"/>
  <c r="I474" i="13"/>
  <c r="J474" i="13" s="1"/>
  <c r="I475" i="13"/>
  <c r="J475" i="13" s="1"/>
  <c r="I476" i="13"/>
  <c r="J476" i="13" s="1"/>
  <c r="I477" i="13"/>
  <c r="J477" i="13" s="1"/>
  <c r="I462" i="13"/>
  <c r="J462" i="13" s="1"/>
  <c r="I466" i="13"/>
  <c r="J466" i="13" s="1"/>
  <c r="I504" i="13"/>
  <c r="J504" i="13" s="1"/>
  <c r="I489" i="13"/>
  <c r="J489" i="13" s="1"/>
  <c r="I482" i="13"/>
  <c r="J482" i="13" s="1"/>
  <c r="I483" i="13"/>
  <c r="J483" i="13" s="1"/>
  <c r="I484" i="13"/>
  <c r="J484" i="13" s="1"/>
  <c r="I485" i="13"/>
  <c r="J485" i="13" s="1"/>
  <c r="I470" i="13"/>
  <c r="J470" i="13" s="1"/>
  <c r="I453" i="13"/>
  <c r="I497" i="13"/>
  <c r="J497" i="13" s="1"/>
  <c r="I491" i="13"/>
  <c r="J491" i="13" s="1"/>
  <c r="I490" i="13"/>
  <c r="J490" i="13" s="1"/>
  <c r="I492" i="13"/>
  <c r="J492" i="13" s="1"/>
  <c r="I493" i="13"/>
  <c r="J493" i="13" s="1"/>
  <c r="I478" i="13"/>
  <c r="J478" i="13" s="1"/>
  <c r="H335" i="13"/>
  <c r="M275" i="13"/>
  <c r="M285" i="13"/>
  <c r="M264" i="13"/>
  <c r="M265" i="13" s="1"/>
  <c r="M1232" i="13"/>
  <c r="H1292" i="13"/>
  <c r="I416" i="13"/>
  <c r="J416" i="13" s="1"/>
  <c r="I409" i="13"/>
  <c r="J409" i="13" s="1"/>
  <c r="I410" i="13"/>
  <c r="J410" i="13" s="1"/>
  <c r="I411" i="13"/>
  <c r="J411" i="13" s="1"/>
  <c r="I412" i="13"/>
  <c r="J412" i="13" s="1"/>
  <c r="I389" i="13"/>
  <c r="J389" i="13" s="1"/>
  <c r="I390" i="13"/>
  <c r="J390" i="13" s="1"/>
  <c r="I369" i="13"/>
  <c r="I370" i="13"/>
  <c r="I417" i="13"/>
  <c r="J417" i="13" s="1"/>
  <c r="I418" i="13"/>
  <c r="J418" i="13" s="1"/>
  <c r="I419" i="13"/>
  <c r="J419" i="13" s="1"/>
  <c r="I420" i="13"/>
  <c r="J420" i="13" s="1"/>
  <c r="I397" i="13"/>
  <c r="J397" i="13" s="1"/>
  <c r="I398" i="13"/>
  <c r="J398" i="13" s="1"/>
  <c r="I403" i="13"/>
  <c r="J403" i="13" s="1"/>
  <c r="I379" i="13"/>
  <c r="J379" i="13" s="1"/>
  <c r="I368" i="13"/>
  <c r="I366" i="13"/>
  <c r="I364" i="13"/>
  <c r="I405" i="13"/>
  <c r="J405" i="13" s="1"/>
  <c r="I406" i="13"/>
  <c r="J406" i="13" s="1"/>
  <c r="I415" i="13"/>
  <c r="J415" i="13" s="1"/>
  <c r="I388" i="13"/>
  <c r="J388" i="13" s="1"/>
  <c r="I371" i="13"/>
  <c r="I372" i="13"/>
  <c r="I413" i="13"/>
  <c r="J413" i="13" s="1"/>
  <c r="I414" i="13"/>
  <c r="J414" i="13" s="1"/>
  <c r="I363" i="13"/>
  <c r="I377" i="13"/>
  <c r="J377" i="13" s="1"/>
  <c r="I404" i="13"/>
  <c r="J404" i="13" s="1"/>
  <c r="I380" i="13"/>
  <c r="J380" i="13" s="1"/>
  <c r="I421" i="13"/>
  <c r="J421" i="13" s="1"/>
  <c r="I365" i="13"/>
  <c r="I376" i="13"/>
  <c r="J376" i="13" s="1"/>
  <c r="I385" i="13"/>
  <c r="J385" i="13" s="1"/>
  <c r="I386" i="13"/>
  <c r="J386" i="13" s="1"/>
  <c r="I394" i="13"/>
  <c r="J394" i="13" s="1"/>
  <c r="I373" i="13"/>
  <c r="J373" i="13" s="1"/>
  <c r="I374" i="13"/>
  <c r="J374" i="13" s="1"/>
  <c r="I383" i="13"/>
  <c r="J383" i="13" s="1"/>
  <c r="I392" i="13"/>
  <c r="J392" i="13" s="1"/>
  <c r="I401" i="13"/>
  <c r="J401" i="13" s="1"/>
  <c r="I402" i="13"/>
  <c r="J402" i="13" s="1"/>
  <c r="I399" i="13"/>
  <c r="J399" i="13" s="1"/>
  <c r="I407" i="13"/>
  <c r="J407" i="13" s="1"/>
  <c r="I395" i="13"/>
  <c r="J395" i="13" s="1"/>
  <c r="I396" i="13"/>
  <c r="J396" i="13" s="1"/>
  <c r="I362" i="13"/>
  <c r="I367" i="13"/>
  <c r="I375" i="13"/>
  <c r="J375" i="13" s="1"/>
  <c r="I384" i="13"/>
  <c r="J384" i="13" s="1"/>
  <c r="I408" i="13"/>
  <c r="J408" i="13" s="1"/>
  <c r="I393" i="13"/>
  <c r="J393" i="13" s="1"/>
  <c r="I378" i="13"/>
  <c r="J378" i="13" s="1"/>
  <c r="I387" i="13"/>
  <c r="J387" i="13" s="1"/>
  <c r="I400" i="13"/>
  <c r="J400" i="13" s="1"/>
  <c r="I381" i="13"/>
  <c r="J381" i="13" s="1"/>
  <c r="I382" i="13"/>
  <c r="J382" i="13" s="1"/>
  <c r="I391" i="13"/>
  <c r="J391" i="13" s="1"/>
  <c r="M719" i="13"/>
  <c r="M699" i="13"/>
  <c r="M700" i="13" s="1"/>
  <c r="I1258" i="13"/>
  <c r="J1258" i="13" s="1"/>
  <c r="I1232" i="13"/>
  <c r="I1273" i="13"/>
  <c r="J1273" i="13" s="1"/>
  <c r="I1282" i="13"/>
  <c r="J1282" i="13" s="1"/>
  <c r="I1259" i="13"/>
  <c r="J1259" i="13" s="1"/>
  <c r="I1260" i="13"/>
  <c r="J1260" i="13" s="1"/>
  <c r="I1253" i="13"/>
  <c r="J1253" i="13" s="1"/>
  <c r="I1266" i="13"/>
  <c r="J1266" i="13" s="1"/>
  <c r="I1272" i="13"/>
  <c r="J1272" i="13" s="1"/>
  <c r="I1281" i="13"/>
  <c r="J1281" i="13" s="1"/>
  <c r="I1290" i="13"/>
  <c r="J1290" i="13" s="1"/>
  <c r="I1267" i="13"/>
  <c r="J1267" i="13" s="1"/>
  <c r="I1268" i="13"/>
  <c r="J1268" i="13" s="1"/>
  <c r="I1261" i="13"/>
  <c r="J1261" i="13" s="1"/>
  <c r="I1262" i="13"/>
  <c r="J1262" i="13" s="1"/>
  <c r="I1271" i="13"/>
  <c r="J1271" i="13" s="1"/>
  <c r="I1280" i="13"/>
  <c r="J1280" i="13" s="1"/>
  <c r="I1289" i="13"/>
  <c r="J1289" i="13" s="1"/>
  <c r="I1275" i="13"/>
  <c r="J1275" i="13" s="1"/>
  <c r="I1276" i="13"/>
  <c r="J1276" i="13" s="1"/>
  <c r="I1285" i="13"/>
  <c r="J1285" i="13" s="1"/>
  <c r="I1269" i="13"/>
  <c r="J1269" i="13" s="1"/>
  <c r="I1270" i="13"/>
  <c r="J1270" i="13" s="1"/>
  <c r="I1279" i="13"/>
  <c r="J1279" i="13" s="1"/>
  <c r="I1288" i="13"/>
  <c r="J1288" i="13" s="1"/>
  <c r="I1233" i="13"/>
  <c r="I1284" i="13"/>
  <c r="J1284" i="13" s="1"/>
  <c r="I1238" i="13"/>
  <c r="I1247" i="13"/>
  <c r="J1247" i="13" s="1"/>
  <c r="I1277" i="13"/>
  <c r="J1277" i="13" s="1"/>
  <c r="I1278" i="13"/>
  <c r="J1278" i="13" s="1"/>
  <c r="I1287" i="13"/>
  <c r="J1287" i="13" s="1"/>
  <c r="I1236" i="13"/>
  <c r="I1283" i="13"/>
  <c r="J1283" i="13" s="1"/>
  <c r="I1246" i="13"/>
  <c r="J1246" i="13" s="1"/>
  <c r="I1255" i="13"/>
  <c r="J1255" i="13" s="1"/>
  <c r="I1256" i="13"/>
  <c r="J1256" i="13" s="1"/>
  <c r="I1248" i="13"/>
  <c r="J1248" i="13" s="1"/>
  <c r="I1286" i="13"/>
  <c r="J1286" i="13" s="1"/>
  <c r="I1235" i="13"/>
  <c r="I1242" i="13"/>
  <c r="J1242" i="13" s="1"/>
  <c r="I1234" i="13"/>
  <c r="I1254" i="13"/>
  <c r="J1254" i="13" s="1"/>
  <c r="I1263" i="13"/>
  <c r="J1263" i="13" s="1"/>
  <c r="I1264" i="13"/>
  <c r="J1264" i="13" s="1"/>
  <c r="I1239" i="13"/>
  <c r="I1240" i="13"/>
  <c r="J1240" i="13" s="1"/>
  <c r="I1241" i="13"/>
  <c r="J1241" i="13" s="1"/>
  <c r="I1291" i="13"/>
  <c r="J1291" i="13" s="1"/>
  <c r="I1245" i="13"/>
  <c r="J1245" i="13" s="1"/>
  <c r="I1243" i="13"/>
  <c r="J1243" i="13" s="1"/>
  <c r="I1244" i="13"/>
  <c r="J1244" i="13" s="1"/>
  <c r="I1257" i="13"/>
  <c r="J1257" i="13" s="1"/>
  <c r="I1249" i="13"/>
  <c r="J1249" i="13" s="1"/>
  <c r="I1250" i="13"/>
  <c r="J1250" i="13" s="1"/>
  <c r="I1237" i="13"/>
  <c r="I1274" i="13"/>
  <c r="J1274" i="13" s="1"/>
  <c r="I1251" i="13"/>
  <c r="J1251" i="13" s="1"/>
  <c r="I1252" i="13"/>
  <c r="J1252" i="13" s="1"/>
  <c r="I1265" i="13"/>
  <c r="J1265" i="13" s="1"/>
  <c r="M884" i="13"/>
  <c r="H944" i="13"/>
  <c r="M1917" i="13"/>
  <c r="M1918" i="13" s="1"/>
  <c r="M1932" i="13"/>
  <c r="G1421" i="20"/>
  <c r="G1961" i="20"/>
  <c r="G1781" i="20"/>
  <c r="G161" i="20"/>
  <c r="G1151" i="20"/>
  <c r="G1331" i="20"/>
  <c r="G881" i="20"/>
  <c r="G1691" i="20"/>
  <c r="M1067" i="13"/>
  <c r="M1047" i="13"/>
  <c r="M1048" i="13" s="1"/>
  <c r="I1801" i="13"/>
  <c r="J1801" i="13" s="1"/>
  <c r="I1802" i="13"/>
  <c r="J1802" i="13" s="1"/>
  <c r="I1771" i="13"/>
  <c r="J1771" i="13" s="1"/>
  <c r="I1764" i="13"/>
  <c r="J1764" i="13" s="1"/>
  <c r="I1789" i="13"/>
  <c r="J1789" i="13" s="1"/>
  <c r="I1790" i="13"/>
  <c r="J1790" i="13" s="1"/>
  <c r="I1799" i="13"/>
  <c r="J1799" i="13" s="1"/>
  <c r="I1762" i="13"/>
  <c r="I1809" i="13"/>
  <c r="J1809" i="13" s="1"/>
  <c r="I1810" i="13"/>
  <c r="J1810" i="13" s="1"/>
  <c r="I1779" i="13"/>
  <c r="J1779" i="13" s="1"/>
  <c r="I1780" i="13"/>
  <c r="J1780" i="13" s="1"/>
  <c r="I1798" i="13"/>
  <c r="J1798" i="13" s="1"/>
  <c r="I1807" i="13"/>
  <c r="J1807" i="13" s="1"/>
  <c r="I1761" i="13"/>
  <c r="I1784" i="13"/>
  <c r="J1784" i="13" s="1"/>
  <c r="I1758" i="13"/>
  <c r="I1795" i="13"/>
  <c r="J1795" i="13" s="1"/>
  <c r="I1787" i="13"/>
  <c r="J1787" i="13" s="1"/>
  <c r="I1788" i="13"/>
  <c r="J1788" i="13" s="1"/>
  <c r="I1760" i="13"/>
  <c r="I1769" i="13"/>
  <c r="J1769" i="13" s="1"/>
  <c r="I1770" i="13"/>
  <c r="J1770" i="13" s="1"/>
  <c r="I1803" i="13"/>
  <c r="J1803" i="13" s="1"/>
  <c r="I1804" i="13"/>
  <c r="J1804" i="13" s="1"/>
  <c r="I1796" i="13"/>
  <c r="J1796" i="13" s="1"/>
  <c r="I1768" i="13"/>
  <c r="J1768" i="13" s="1"/>
  <c r="I1777" i="13"/>
  <c r="J1777" i="13" s="1"/>
  <c r="I1778" i="13"/>
  <c r="J1778" i="13" s="1"/>
  <c r="I1792" i="13"/>
  <c r="J1792" i="13" s="1"/>
  <c r="I1812" i="13"/>
  <c r="J1812" i="13" s="1"/>
  <c r="I1813" i="13"/>
  <c r="J1813" i="13" s="1"/>
  <c r="I1805" i="13"/>
  <c r="J1805" i="13" s="1"/>
  <c r="I1757" i="13"/>
  <c r="I1756" i="13"/>
  <c r="I1767" i="13"/>
  <c r="J1767" i="13" s="1"/>
  <c r="I1808" i="13"/>
  <c r="J1808" i="13" s="1"/>
  <c r="I1806" i="13"/>
  <c r="J1806" i="13" s="1"/>
  <c r="I1772" i="13"/>
  <c r="J1772" i="13" s="1"/>
  <c r="I1755" i="13"/>
  <c r="I1765" i="13"/>
  <c r="J1765" i="13" s="1"/>
  <c r="I1766" i="13"/>
  <c r="J1766" i="13" s="1"/>
  <c r="I1775" i="13"/>
  <c r="J1775" i="13" s="1"/>
  <c r="I1776" i="13"/>
  <c r="J1776" i="13" s="1"/>
  <c r="I1785" i="13"/>
  <c r="J1785" i="13" s="1"/>
  <c r="I1786" i="13"/>
  <c r="J1786" i="13" s="1"/>
  <c r="I1754" i="13"/>
  <c r="I1797" i="13"/>
  <c r="J1797" i="13" s="1"/>
  <c r="I1773" i="13"/>
  <c r="J1773" i="13" s="1"/>
  <c r="I1774" i="13"/>
  <c r="J1774" i="13" s="1"/>
  <c r="I1783" i="13"/>
  <c r="J1783" i="13" s="1"/>
  <c r="I1800" i="13"/>
  <c r="J1800" i="13" s="1"/>
  <c r="I1793" i="13"/>
  <c r="J1793" i="13" s="1"/>
  <c r="I1794" i="13"/>
  <c r="J1794" i="13" s="1"/>
  <c r="I1763" i="13"/>
  <c r="J1763" i="13" s="1"/>
  <c r="I1759" i="13"/>
  <c r="I1781" i="13"/>
  <c r="J1781" i="13" s="1"/>
  <c r="I1782" i="13"/>
  <c r="J1782" i="13" s="1"/>
  <c r="I1791" i="13"/>
  <c r="J1791" i="13" s="1"/>
  <c r="I1811" i="13"/>
  <c r="J1811" i="13" s="1"/>
  <c r="M1588" i="13"/>
  <c r="M1569" i="13"/>
  <c r="M1570" i="13" s="1"/>
  <c r="M1580" i="13"/>
  <c r="H1640" i="13"/>
  <c r="I768" i="13"/>
  <c r="J768" i="13" s="1"/>
  <c r="I745" i="13"/>
  <c r="J745" i="13" s="1"/>
  <c r="I738" i="13"/>
  <c r="J738" i="13" s="1"/>
  <c r="I716" i="13"/>
  <c r="I733" i="13"/>
  <c r="J733" i="13" s="1"/>
  <c r="I734" i="13"/>
  <c r="J734" i="13" s="1"/>
  <c r="I751" i="13"/>
  <c r="J751" i="13" s="1"/>
  <c r="I725" i="13"/>
  <c r="J725" i="13" s="1"/>
  <c r="I714" i="13"/>
  <c r="I711" i="13"/>
  <c r="I753" i="13"/>
  <c r="J753" i="13" s="1"/>
  <c r="I746" i="13"/>
  <c r="J746" i="13" s="1"/>
  <c r="I724" i="13"/>
  <c r="J724" i="13" s="1"/>
  <c r="I741" i="13"/>
  <c r="J741" i="13" s="1"/>
  <c r="I742" i="13"/>
  <c r="J742" i="13" s="1"/>
  <c r="I759" i="13"/>
  <c r="J759" i="13" s="1"/>
  <c r="I760" i="13"/>
  <c r="J760" i="13" s="1"/>
  <c r="I719" i="13"/>
  <c r="I723" i="13"/>
  <c r="J723" i="13" s="1"/>
  <c r="I761" i="13"/>
  <c r="J761" i="13" s="1"/>
  <c r="I754" i="13"/>
  <c r="J754" i="13" s="1"/>
  <c r="I732" i="13"/>
  <c r="J732" i="13" s="1"/>
  <c r="I749" i="13"/>
  <c r="J749" i="13" s="1"/>
  <c r="I750" i="13"/>
  <c r="J750" i="13" s="1"/>
  <c r="I767" i="13"/>
  <c r="J767" i="13" s="1"/>
  <c r="I728" i="13"/>
  <c r="J728" i="13" s="1"/>
  <c r="I747" i="13"/>
  <c r="J747" i="13" s="1"/>
  <c r="I769" i="13"/>
  <c r="J769" i="13" s="1"/>
  <c r="I762" i="13"/>
  <c r="J762" i="13" s="1"/>
  <c r="I740" i="13"/>
  <c r="J740" i="13" s="1"/>
  <c r="I757" i="13"/>
  <c r="J757" i="13" s="1"/>
  <c r="I758" i="13"/>
  <c r="J758" i="13" s="1"/>
  <c r="I764" i="13"/>
  <c r="J764" i="13" s="1"/>
  <c r="I730" i="13"/>
  <c r="J730" i="13" s="1"/>
  <c r="I726" i="13"/>
  <c r="J726" i="13" s="1"/>
  <c r="I736" i="13"/>
  <c r="J736" i="13" s="1"/>
  <c r="I713" i="13"/>
  <c r="I739" i="13"/>
  <c r="J739" i="13" s="1"/>
  <c r="I715" i="13"/>
  <c r="I748" i="13"/>
  <c r="J748" i="13" s="1"/>
  <c r="I765" i="13"/>
  <c r="J765" i="13" s="1"/>
  <c r="I766" i="13"/>
  <c r="J766" i="13" s="1"/>
  <c r="I718" i="13"/>
  <c r="I712" i="13"/>
  <c r="I743" i="13"/>
  <c r="J743" i="13" s="1"/>
  <c r="I744" i="13"/>
  <c r="J744" i="13" s="1"/>
  <c r="I720" i="13"/>
  <c r="J720" i="13" s="1"/>
  <c r="I710" i="13"/>
  <c r="I731" i="13"/>
  <c r="J731" i="13" s="1"/>
  <c r="I756" i="13"/>
  <c r="J756" i="13" s="1"/>
  <c r="I755" i="13"/>
  <c r="J755" i="13" s="1"/>
  <c r="I727" i="13"/>
  <c r="J727" i="13" s="1"/>
  <c r="I737" i="13"/>
  <c r="J737" i="13" s="1"/>
  <c r="I752" i="13"/>
  <c r="J752" i="13" s="1"/>
  <c r="I729" i="13"/>
  <c r="J729" i="13" s="1"/>
  <c r="I721" i="13"/>
  <c r="J721" i="13" s="1"/>
  <c r="I722" i="13"/>
  <c r="J722" i="13" s="1"/>
  <c r="I763" i="13"/>
  <c r="J763" i="13" s="1"/>
  <c r="I717" i="13"/>
  <c r="I735" i="13"/>
  <c r="J735" i="13" s="1"/>
  <c r="I148" i="13"/>
  <c r="J148" i="13" s="1"/>
  <c r="I158" i="13"/>
  <c r="J158" i="13" s="1"/>
  <c r="I159" i="13"/>
  <c r="J159" i="13" s="1"/>
  <c r="I104" i="13"/>
  <c r="I114" i="13"/>
  <c r="J114" i="13" s="1"/>
  <c r="I123" i="13"/>
  <c r="J123" i="13" s="1"/>
  <c r="I101" i="13"/>
  <c r="I157" i="13"/>
  <c r="J157" i="13" s="1"/>
  <c r="I102" i="13"/>
  <c r="I103" i="13"/>
  <c r="I113" i="13"/>
  <c r="J113" i="13" s="1"/>
  <c r="I122" i="13"/>
  <c r="J122" i="13" s="1"/>
  <c r="I131" i="13"/>
  <c r="J131" i="13" s="1"/>
  <c r="I137" i="13"/>
  <c r="J137" i="13" s="1"/>
  <c r="I100" i="13"/>
  <c r="I108" i="13"/>
  <c r="I109" i="13"/>
  <c r="I110" i="13"/>
  <c r="I111" i="13"/>
  <c r="I112" i="13"/>
  <c r="J112" i="13" s="1"/>
  <c r="I145" i="13"/>
  <c r="J145" i="13" s="1"/>
  <c r="I139" i="13"/>
  <c r="J139" i="13" s="1"/>
  <c r="I116" i="13"/>
  <c r="J116" i="13" s="1"/>
  <c r="I117" i="13"/>
  <c r="J117" i="13" s="1"/>
  <c r="I118" i="13"/>
  <c r="J118" i="13" s="1"/>
  <c r="I119" i="13"/>
  <c r="J119" i="13" s="1"/>
  <c r="I120" i="13"/>
  <c r="J120" i="13" s="1"/>
  <c r="I156" i="13"/>
  <c r="J156" i="13" s="1"/>
  <c r="I130" i="13"/>
  <c r="J130" i="13" s="1"/>
  <c r="I147" i="13"/>
  <c r="J147" i="13" s="1"/>
  <c r="I124" i="13"/>
  <c r="J124" i="13" s="1"/>
  <c r="I125" i="13"/>
  <c r="J125" i="13" s="1"/>
  <c r="I126" i="13"/>
  <c r="J126" i="13" s="1"/>
  <c r="I127" i="13"/>
  <c r="J127" i="13" s="1"/>
  <c r="I128" i="13"/>
  <c r="J128" i="13" s="1"/>
  <c r="I107" i="13"/>
  <c r="I138" i="13"/>
  <c r="J138" i="13" s="1"/>
  <c r="I155" i="13"/>
  <c r="J155" i="13" s="1"/>
  <c r="I132" i="13"/>
  <c r="J132" i="13" s="1"/>
  <c r="I133" i="13"/>
  <c r="J133" i="13" s="1"/>
  <c r="I134" i="13"/>
  <c r="J134" i="13" s="1"/>
  <c r="I135" i="13"/>
  <c r="J135" i="13" s="1"/>
  <c r="I136" i="13"/>
  <c r="J136" i="13" s="1"/>
  <c r="I105" i="13"/>
  <c r="I146" i="13"/>
  <c r="J146" i="13" s="1"/>
  <c r="I140" i="13"/>
  <c r="J140" i="13" s="1"/>
  <c r="I141" i="13"/>
  <c r="J141" i="13" s="1"/>
  <c r="I142" i="13"/>
  <c r="J142" i="13" s="1"/>
  <c r="I143" i="13"/>
  <c r="J143" i="13" s="1"/>
  <c r="I144" i="13"/>
  <c r="J144" i="13" s="1"/>
  <c r="I153" i="13"/>
  <c r="J153" i="13" s="1"/>
  <c r="I121" i="13"/>
  <c r="J121" i="13" s="1"/>
  <c r="I154" i="13"/>
  <c r="J154" i="13" s="1"/>
  <c r="I149" i="13"/>
  <c r="J149" i="13" s="1"/>
  <c r="I150" i="13"/>
  <c r="J150" i="13" s="1"/>
  <c r="I151" i="13"/>
  <c r="J151" i="13" s="1"/>
  <c r="I152" i="13"/>
  <c r="J152" i="13" s="1"/>
  <c r="I106" i="13"/>
  <c r="I115" i="13"/>
  <c r="J115" i="13" s="1"/>
  <c r="I129" i="13"/>
  <c r="J129" i="13" s="1"/>
  <c r="I1699" i="13"/>
  <c r="J1699" i="13" s="1"/>
  <c r="I1705" i="13"/>
  <c r="J1705" i="13" s="1"/>
  <c r="I1708" i="13"/>
  <c r="J1708" i="13" s="1"/>
  <c r="I1725" i="13"/>
  <c r="J1725" i="13" s="1"/>
  <c r="I1679" i="13"/>
  <c r="J1679" i="13" s="1"/>
  <c r="I1714" i="13"/>
  <c r="J1714" i="13" s="1"/>
  <c r="I1716" i="13"/>
  <c r="J1716" i="13" s="1"/>
  <c r="I1668" i="13"/>
  <c r="I1718" i="13"/>
  <c r="J1718" i="13" s="1"/>
  <c r="I1706" i="13"/>
  <c r="J1706" i="13" s="1"/>
  <c r="I1675" i="13"/>
  <c r="I1724" i="13"/>
  <c r="J1724" i="13" s="1"/>
  <c r="I1678" i="13"/>
  <c r="J1678" i="13" s="1"/>
  <c r="I1711" i="13"/>
  <c r="J1711" i="13" s="1"/>
  <c r="I1696" i="13"/>
  <c r="J1696" i="13" s="1"/>
  <c r="I1717" i="13"/>
  <c r="J1717" i="13" s="1"/>
  <c r="I1669" i="13"/>
  <c r="I1688" i="13"/>
  <c r="J1688" i="13" s="1"/>
  <c r="I1719" i="13"/>
  <c r="J1719" i="13" s="1"/>
  <c r="I1720" i="13"/>
  <c r="J1720" i="13" s="1"/>
  <c r="I1715" i="13"/>
  <c r="J1715" i="13" s="1"/>
  <c r="I1677" i="13"/>
  <c r="J1677" i="13" s="1"/>
  <c r="I1710" i="13"/>
  <c r="J1710" i="13" s="1"/>
  <c r="I1703" i="13"/>
  <c r="J1703" i="13" s="1"/>
  <c r="I1702" i="13"/>
  <c r="J1702" i="13" s="1"/>
  <c r="I1712" i="13"/>
  <c r="J1712" i="13" s="1"/>
  <c r="I1721" i="13"/>
  <c r="J1721" i="13" s="1"/>
  <c r="I1673" i="13"/>
  <c r="I1670" i="13"/>
  <c r="I1707" i="13"/>
  <c r="J1707" i="13" s="1"/>
  <c r="I1667" i="13"/>
  <c r="I1685" i="13"/>
  <c r="J1685" i="13" s="1"/>
  <c r="I1686" i="13"/>
  <c r="J1686" i="13" s="1"/>
  <c r="I1687" i="13"/>
  <c r="J1687" i="13" s="1"/>
  <c r="I1672" i="13"/>
  <c r="I1681" i="13"/>
  <c r="J1681" i="13" s="1"/>
  <c r="I1682" i="13"/>
  <c r="J1682" i="13" s="1"/>
  <c r="I1684" i="13"/>
  <c r="J1684" i="13" s="1"/>
  <c r="I1693" i="13"/>
  <c r="J1693" i="13" s="1"/>
  <c r="I1694" i="13"/>
  <c r="J1694" i="13" s="1"/>
  <c r="I1695" i="13"/>
  <c r="J1695" i="13" s="1"/>
  <c r="I1680" i="13"/>
  <c r="J1680" i="13" s="1"/>
  <c r="I1689" i="13"/>
  <c r="J1689" i="13" s="1"/>
  <c r="I1690" i="13"/>
  <c r="J1690" i="13" s="1"/>
  <c r="I1683" i="13"/>
  <c r="J1683" i="13" s="1"/>
  <c r="I1692" i="13"/>
  <c r="J1692" i="13" s="1"/>
  <c r="I1713" i="13"/>
  <c r="J1713" i="13" s="1"/>
  <c r="I1722" i="13"/>
  <c r="J1722" i="13" s="1"/>
  <c r="I1723" i="13"/>
  <c r="J1723" i="13" s="1"/>
  <c r="I1697" i="13"/>
  <c r="J1697" i="13" s="1"/>
  <c r="I1671" i="13"/>
  <c r="I1698" i="13"/>
  <c r="J1698" i="13" s="1"/>
  <c r="I1691" i="13"/>
  <c r="J1691" i="13" s="1"/>
  <c r="I1704" i="13"/>
  <c r="J1704" i="13" s="1"/>
  <c r="I1676" i="13"/>
  <c r="J1676" i="13" s="1"/>
  <c r="I1709" i="13"/>
  <c r="J1709" i="13" s="1"/>
  <c r="I1726" i="13"/>
  <c r="J1726" i="13" s="1"/>
  <c r="I1674" i="13"/>
  <c r="I1700" i="13"/>
  <c r="J1700" i="13" s="1"/>
  <c r="I1701" i="13"/>
  <c r="J1701" i="13" s="1"/>
  <c r="M806" i="13"/>
  <c r="M786" i="13"/>
  <c r="M787" i="13" s="1"/>
  <c r="M797" i="13"/>
  <c r="H857" i="13"/>
  <c r="I941" i="13"/>
  <c r="J941" i="13" s="1"/>
  <c r="I942" i="13"/>
  <c r="J942" i="13" s="1"/>
  <c r="I885" i="13"/>
  <c r="I887" i="13"/>
  <c r="I898" i="13"/>
  <c r="J898" i="13" s="1"/>
  <c r="I907" i="13"/>
  <c r="J907" i="13" s="1"/>
  <c r="I891" i="13"/>
  <c r="J891" i="13" s="1"/>
  <c r="I894" i="13"/>
  <c r="J894" i="13" s="1"/>
  <c r="I895" i="13"/>
  <c r="J895" i="13" s="1"/>
  <c r="I903" i="13"/>
  <c r="J903" i="13" s="1"/>
  <c r="I897" i="13"/>
  <c r="J897" i="13" s="1"/>
  <c r="I906" i="13"/>
  <c r="J906" i="13" s="1"/>
  <c r="I915" i="13"/>
  <c r="J915" i="13" s="1"/>
  <c r="I899" i="13"/>
  <c r="J899" i="13" s="1"/>
  <c r="I886" i="13"/>
  <c r="I902" i="13"/>
  <c r="J902" i="13" s="1"/>
  <c r="I884" i="13"/>
  <c r="I905" i="13"/>
  <c r="J905" i="13" s="1"/>
  <c r="I914" i="13"/>
  <c r="J914" i="13" s="1"/>
  <c r="I923" i="13"/>
  <c r="J923" i="13" s="1"/>
  <c r="I908" i="13"/>
  <c r="J908" i="13" s="1"/>
  <c r="I900" i="13"/>
  <c r="J900" i="13" s="1"/>
  <c r="I901" i="13"/>
  <c r="J901" i="13" s="1"/>
  <c r="I911" i="13"/>
  <c r="J911" i="13" s="1"/>
  <c r="I896" i="13"/>
  <c r="J896" i="13" s="1"/>
  <c r="I913" i="13"/>
  <c r="J913" i="13" s="1"/>
  <c r="I922" i="13"/>
  <c r="J922" i="13" s="1"/>
  <c r="I931" i="13"/>
  <c r="J931" i="13" s="1"/>
  <c r="I916" i="13"/>
  <c r="J916" i="13" s="1"/>
  <c r="I909" i="13"/>
  <c r="J909" i="13" s="1"/>
  <c r="I910" i="13"/>
  <c r="J910" i="13" s="1"/>
  <c r="I919" i="13"/>
  <c r="J919" i="13" s="1"/>
  <c r="I904" i="13"/>
  <c r="J904" i="13" s="1"/>
  <c r="I921" i="13"/>
  <c r="J921" i="13" s="1"/>
  <c r="I930" i="13"/>
  <c r="J930" i="13" s="1"/>
  <c r="I939" i="13"/>
  <c r="J939" i="13" s="1"/>
  <c r="I924" i="13"/>
  <c r="J924" i="13" s="1"/>
  <c r="I917" i="13"/>
  <c r="J917" i="13" s="1"/>
  <c r="I918" i="13"/>
  <c r="J918" i="13" s="1"/>
  <c r="I927" i="13"/>
  <c r="J927" i="13" s="1"/>
  <c r="I912" i="13"/>
  <c r="J912" i="13" s="1"/>
  <c r="I937" i="13"/>
  <c r="J937" i="13" s="1"/>
  <c r="I888" i="13"/>
  <c r="I889" i="13"/>
  <c r="J889" i="13" s="1"/>
  <c r="I940" i="13"/>
  <c r="J940" i="13" s="1"/>
  <c r="I925" i="13"/>
  <c r="J925" i="13" s="1"/>
  <c r="I926" i="13"/>
  <c r="J926" i="13" s="1"/>
  <c r="I935" i="13"/>
  <c r="J935" i="13" s="1"/>
  <c r="I928" i="13"/>
  <c r="J928" i="13" s="1"/>
  <c r="I929" i="13"/>
  <c r="J929" i="13" s="1"/>
  <c r="I938" i="13"/>
  <c r="J938" i="13" s="1"/>
  <c r="I892" i="13"/>
  <c r="J892" i="13" s="1"/>
  <c r="I932" i="13"/>
  <c r="J932" i="13" s="1"/>
  <c r="I933" i="13"/>
  <c r="J933" i="13" s="1"/>
  <c r="I934" i="13"/>
  <c r="J934" i="13" s="1"/>
  <c r="I943" i="13"/>
  <c r="J943" i="13" s="1"/>
  <c r="I920" i="13"/>
  <c r="J920" i="13" s="1"/>
  <c r="I936" i="13"/>
  <c r="J936" i="13" s="1"/>
  <c r="I890" i="13"/>
  <c r="J890" i="13" s="1"/>
  <c r="I893" i="13"/>
  <c r="G2050" i="20"/>
  <c r="G701" i="20"/>
  <c r="G431" i="20"/>
  <c r="H1553" i="13"/>
  <c r="M1327" i="13"/>
  <c r="M1308" i="13"/>
  <c r="M1309" i="13" s="1"/>
  <c r="H770" i="13"/>
  <c r="M710" i="13"/>
  <c r="M546" i="13"/>
  <c r="M525" i="13"/>
  <c r="M526" i="13" s="1"/>
  <c r="M1239" i="13"/>
  <c r="M1221" i="13"/>
  <c r="M1222" i="13" s="1"/>
  <c r="O104" i="13" l="1"/>
  <c r="P104" i="13" s="1"/>
  <c r="J104" i="13"/>
  <c r="O805" i="13"/>
  <c r="P805" i="13" s="1"/>
  <c r="J805" i="13"/>
  <c r="O886" i="13"/>
  <c r="P886" i="13" s="1"/>
  <c r="J886" i="13"/>
  <c r="O1667" i="13"/>
  <c r="P1667" i="13" s="1"/>
  <c r="I1727" i="13"/>
  <c r="J1667" i="13"/>
  <c r="N89" i="13"/>
  <c r="J111" i="13"/>
  <c r="O111" i="13"/>
  <c r="P111" i="13" s="1"/>
  <c r="O715" i="13"/>
  <c r="P715" i="13" s="1"/>
  <c r="J715" i="13"/>
  <c r="I1814" i="13"/>
  <c r="O1754" i="13"/>
  <c r="P1754" i="13" s="1"/>
  <c r="J1754" i="13"/>
  <c r="J1761" i="13"/>
  <c r="O1761" i="13"/>
  <c r="P1761" i="13" s="1"/>
  <c r="J1236" i="13"/>
  <c r="O1236" i="13"/>
  <c r="P1236" i="13" s="1"/>
  <c r="J458" i="13"/>
  <c r="O458" i="13"/>
  <c r="P458" i="13" s="1"/>
  <c r="O449" i="13"/>
  <c r="P449" i="13" s="1"/>
  <c r="I509" i="13"/>
  <c r="J449" i="13"/>
  <c r="O544" i="13"/>
  <c r="P544" i="13" s="1"/>
  <c r="J544" i="13"/>
  <c r="J542" i="13"/>
  <c r="O542" i="13"/>
  <c r="P542" i="13" s="1"/>
  <c r="J977" i="13"/>
  <c r="O977" i="13"/>
  <c r="P977" i="13" s="1"/>
  <c r="N176" i="13"/>
  <c r="J199" i="13"/>
  <c r="O199" i="13"/>
  <c r="P199" i="13" s="1"/>
  <c r="O197" i="13"/>
  <c r="P197" i="13" s="1"/>
  <c r="J197" i="13"/>
  <c r="O803" i="13"/>
  <c r="P803" i="13" s="1"/>
  <c r="J803" i="13"/>
  <c r="J1327" i="13"/>
  <c r="N1308" i="13"/>
  <c r="O1327" i="13"/>
  <c r="P1327" i="13" s="1"/>
  <c r="J630" i="13"/>
  <c r="O630" i="13"/>
  <c r="P630" i="13" s="1"/>
  <c r="J1151" i="13"/>
  <c r="O1151" i="13"/>
  <c r="P1151" i="13" s="1"/>
  <c r="J1145" i="13"/>
  <c r="I1205" i="13"/>
  <c r="O1145" i="13"/>
  <c r="P1145" i="13" s="1"/>
  <c r="J1150" i="13"/>
  <c r="O1150" i="13"/>
  <c r="P1150" i="13" s="1"/>
  <c r="N179" i="20"/>
  <c r="N180" i="20" s="1"/>
  <c r="I203" i="20"/>
  <c r="H611" i="20"/>
  <c r="I551" i="20"/>
  <c r="N989" i="20"/>
  <c r="N990" i="20" s="1"/>
  <c r="I1011" i="20"/>
  <c r="N1395" i="13"/>
  <c r="J1414" i="13"/>
  <c r="O1414" i="13"/>
  <c r="P1414" i="13" s="1"/>
  <c r="J1845" i="13"/>
  <c r="O1845" i="13"/>
  <c r="P1845" i="13" s="1"/>
  <c r="J285" i="13"/>
  <c r="O285" i="13"/>
  <c r="P285" i="13" s="1"/>
  <c r="N264" i="13"/>
  <c r="I335" i="13"/>
  <c r="J275" i="13"/>
  <c r="O275" i="13"/>
  <c r="P275" i="13" s="1"/>
  <c r="O106" i="13"/>
  <c r="P106" i="13" s="1"/>
  <c r="J106" i="13"/>
  <c r="J110" i="13"/>
  <c r="O110" i="13"/>
  <c r="P110" i="13" s="1"/>
  <c r="J103" i="13"/>
  <c r="O103" i="13"/>
  <c r="P103" i="13" s="1"/>
  <c r="O1237" i="13"/>
  <c r="P1237" i="13" s="1"/>
  <c r="J1237" i="13"/>
  <c r="J1235" i="13"/>
  <c r="O1235" i="13"/>
  <c r="P1235" i="13" s="1"/>
  <c r="O454" i="13"/>
  <c r="P454" i="13" s="1"/>
  <c r="J454" i="13"/>
  <c r="J459" i="13"/>
  <c r="N438" i="13"/>
  <c r="O459" i="13"/>
  <c r="P459" i="13" s="1"/>
  <c r="J537" i="13"/>
  <c r="O537" i="13"/>
  <c r="P537" i="13" s="1"/>
  <c r="J538" i="13"/>
  <c r="O538" i="13"/>
  <c r="P538" i="13" s="1"/>
  <c r="J975" i="13"/>
  <c r="O975" i="13"/>
  <c r="P975" i="13" s="1"/>
  <c r="N22" i="13"/>
  <c r="M90" i="13"/>
  <c r="O1582" i="13"/>
  <c r="P1582" i="13" s="1"/>
  <c r="J1582" i="13"/>
  <c r="J625" i="13"/>
  <c r="O625" i="13"/>
  <c r="P625" i="13" s="1"/>
  <c r="O1153" i="13"/>
  <c r="P1153" i="13" s="1"/>
  <c r="J1153" i="13"/>
  <c r="I1553" i="13"/>
  <c r="J1493" i="13"/>
  <c r="J1553" i="13" s="1"/>
  <c r="H1781" i="20"/>
  <c r="I1721" i="20"/>
  <c r="I1278" i="20"/>
  <c r="N1259" i="20"/>
  <c r="N1260" i="20" s="1"/>
  <c r="I561" i="20"/>
  <c r="N539" i="20"/>
  <c r="N540" i="20" s="1"/>
  <c r="I461" i="20"/>
  <c r="H521" i="20"/>
  <c r="I1369" i="20"/>
  <c r="N1349" i="20"/>
  <c r="N1350" i="20" s="1"/>
  <c r="J1409" i="13"/>
  <c r="O1409" i="13"/>
  <c r="P1409" i="13" s="1"/>
  <c r="O1847" i="13"/>
  <c r="P1847" i="13" s="1"/>
  <c r="N1830" i="13"/>
  <c r="J1847" i="13"/>
  <c r="J1844" i="13"/>
  <c r="O1844" i="13"/>
  <c r="P1844" i="13" s="1"/>
  <c r="J1064" i="13"/>
  <c r="O1064" i="13"/>
  <c r="P1064" i="13" s="1"/>
  <c r="N1743" i="13"/>
  <c r="J1762" i="13"/>
  <c r="O1762" i="13"/>
  <c r="P1762" i="13" s="1"/>
  <c r="O1232" i="13"/>
  <c r="P1232" i="13" s="1"/>
  <c r="J1232" i="13"/>
  <c r="I1292" i="13"/>
  <c r="J451" i="13"/>
  <c r="O451" i="13"/>
  <c r="P451" i="13" s="1"/>
  <c r="J194" i="13"/>
  <c r="O194" i="13"/>
  <c r="P194" i="13" s="1"/>
  <c r="O188" i="13"/>
  <c r="P188" i="13" s="1"/>
  <c r="J188" i="13"/>
  <c r="J1065" i="13"/>
  <c r="O1065" i="13"/>
  <c r="P1065" i="13" s="1"/>
  <c r="O1670" i="13"/>
  <c r="P1670" i="13" s="1"/>
  <c r="J1670" i="13"/>
  <c r="O109" i="13"/>
  <c r="P109" i="13" s="1"/>
  <c r="J109" i="13"/>
  <c r="J102" i="13"/>
  <c r="O102" i="13"/>
  <c r="P102" i="13" s="1"/>
  <c r="O713" i="13"/>
  <c r="P713" i="13" s="1"/>
  <c r="J713" i="13"/>
  <c r="J1760" i="13"/>
  <c r="O1760" i="13"/>
  <c r="P1760" i="13" s="1"/>
  <c r="J363" i="13"/>
  <c r="O363" i="13"/>
  <c r="P363" i="13" s="1"/>
  <c r="J1588" i="13"/>
  <c r="O1588" i="13"/>
  <c r="P1588" i="13" s="1"/>
  <c r="N1569" i="13"/>
  <c r="J1583" i="13"/>
  <c r="O1583" i="13"/>
  <c r="P1583" i="13" s="1"/>
  <c r="O1581" i="13"/>
  <c r="P1581" i="13" s="1"/>
  <c r="J1581" i="13"/>
  <c r="O192" i="13"/>
  <c r="P192" i="13" s="1"/>
  <c r="J192" i="13"/>
  <c r="O198" i="13"/>
  <c r="P198" i="13" s="1"/>
  <c r="J198" i="13"/>
  <c r="O802" i="13"/>
  <c r="P802" i="13" s="1"/>
  <c r="J802" i="13"/>
  <c r="J1325" i="13"/>
  <c r="O1325" i="13"/>
  <c r="P1325" i="13" s="1"/>
  <c r="O629" i="13"/>
  <c r="P629" i="13" s="1"/>
  <c r="J629" i="13"/>
  <c r="J626" i="13"/>
  <c r="O626" i="13"/>
  <c r="P626" i="13" s="1"/>
  <c r="I1451" i="20"/>
  <c r="H1511" i="20"/>
  <c r="I1361" i="20"/>
  <c r="H1421" i="20"/>
  <c r="H971" i="20"/>
  <c r="I911" i="20"/>
  <c r="I1190" i="20"/>
  <c r="N1169" i="20"/>
  <c r="N1170" i="20" s="1"/>
  <c r="I1271" i="20"/>
  <c r="H1331" i="20"/>
  <c r="I1819" i="20"/>
  <c r="N1799" i="20"/>
  <c r="N1800" i="20" s="1"/>
  <c r="I1100" i="20"/>
  <c r="N1079" i="20"/>
  <c r="N1080" i="20" s="1"/>
  <c r="O1412" i="13"/>
  <c r="P1412" i="13" s="1"/>
  <c r="J1412" i="13"/>
  <c r="J1406" i="13"/>
  <c r="O1406" i="13"/>
  <c r="P1406" i="13" s="1"/>
  <c r="I1466" i="13"/>
  <c r="J1058" i="13"/>
  <c r="O1058" i="13"/>
  <c r="P1058" i="13" s="1"/>
  <c r="I1118" i="13"/>
  <c r="O276" i="13"/>
  <c r="P276" i="13" s="1"/>
  <c r="J276" i="13"/>
  <c r="J105" i="13"/>
  <c r="O105" i="13"/>
  <c r="P105" i="13" s="1"/>
  <c r="O1233" i="13"/>
  <c r="P1233" i="13" s="1"/>
  <c r="J1233" i="13"/>
  <c r="O976" i="13"/>
  <c r="P976" i="13" s="1"/>
  <c r="J976" i="13"/>
  <c r="J1326" i="13"/>
  <c r="O1326" i="13"/>
  <c r="P1326" i="13" s="1"/>
  <c r="I1729" i="20"/>
  <c r="N1709" i="20"/>
  <c r="N1710" i="20" s="1"/>
  <c r="J893" i="13"/>
  <c r="N873" i="13"/>
  <c r="O887" i="13"/>
  <c r="P887" i="13" s="1"/>
  <c r="J887" i="13"/>
  <c r="O1673" i="13"/>
  <c r="P1673" i="13" s="1"/>
  <c r="J1673" i="13"/>
  <c r="J108" i="13"/>
  <c r="O108" i="13"/>
  <c r="P108" i="13" s="1"/>
  <c r="J712" i="13"/>
  <c r="O712" i="13"/>
  <c r="P712" i="13" s="1"/>
  <c r="J716" i="13"/>
  <c r="O716" i="13"/>
  <c r="P716" i="13" s="1"/>
  <c r="N1221" i="13"/>
  <c r="O1239" i="13"/>
  <c r="P1239" i="13" s="1"/>
  <c r="J1239" i="13"/>
  <c r="O364" i="13"/>
  <c r="P364" i="13" s="1"/>
  <c r="J364" i="13"/>
  <c r="O453" i="13"/>
  <c r="P453" i="13" s="1"/>
  <c r="J453" i="13"/>
  <c r="J457" i="13"/>
  <c r="O457" i="13"/>
  <c r="P457" i="13" s="1"/>
  <c r="O543" i="13"/>
  <c r="P543" i="13" s="1"/>
  <c r="J543" i="13"/>
  <c r="O973" i="13"/>
  <c r="P973" i="13" s="1"/>
  <c r="J973" i="13"/>
  <c r="J979" i="13"/>
  <c r="O979" i="13"/>
  <c r="P979" i="13" s="1"/>
  <c r="O980" i="13"/>
  <c r="P980" i="13" s="1"/>
  <c r="J980" i="13"/>
  <c r="O1580" i="13"/>
  <c r="P1580" i="13" s="1"/>
  <c r="J1580" i="13"/>
  <c r="I1640" i="13"/>
  <c r="O1585" i="13"/>
  <c r="P1585" i="13" s="1"/>
  <c r="J1585" i="13"/>
  <c r="J189" i="13"/>
  <c r="O189" i="13"/>
  <c r="P189" i="13" s="1"/>
  <c r="J1931" i="13"/>
  <c r="O1931" i="13"/>
  <c r="P1931" i="13" s="1"/>
  <c r="J1321" i="13"/>
  <c r="O1321" i="13"/>
  <c r="P1321" i="13" s="1"/>
  <c r="O1149" i="13"/>
  <c r="P1149" i="13" s="1"/>
  <c r="J1149" i="13"/>
  <c r="I101" i="20"/>
  <c r="H161" i="20"/>
  <c r="N1619" i="20"/>
  <c r="N1620" i="20" s="1"/>
  <c r="I1639" i="20"/>
  <c r="I1459" i="20"/>
  <c r="N1439" i="20"/>
  <c r="N1440" i="20" s="1"/>
  <c r="I1631" i="20"/>
  <c r="H1691" i="20"/>
  <c r="H1241" i="20"/>
  <c r="I1181" i="20"/>
  <c r="J1407" i="13"/>
  <c r="O1407" i="13"/>
  <c r="P1407" i="13" s="1"/>
  <c r="O1063" i="13"/>
  <c r="P1063" i="13" s="1"/>
  <c r="J1063" i="13"/>
  <c r="O1059" i="13"/>
  <c r="P1059" i="13" s="1"/>
  <c r="J1059" i="13"/>
  <c r="O284" i="13"/>
  <c r="P284" i="13" s="1"/>
  <c r="J284" i="13"/>
  <c r="J280" i="13"/>
  <c r="O280" i="13"/>
  <c r="P280" i="13" s="1"/>
  <c r="J278" i="13"/>
  <c r="O278" i="13"/>
  <c r="P278" i="13" s="1"/>
  <c r="O282" i="13"/>
  <c r="P282" i="13" s="1"/>
  <c r="J282" i="13"/>
  <c r="O710" i="13"/>
  <c r="P710" i="13" s="1"/>
  <c r="J710" i="13"/>
  <c r="I770" i="13"/>
  <c r="J1755" i="13"/>
  <c r="O1755" i="13"/>
  <c r="P1755" i="13" s="1"/>
  <c r="J1584" i="13"/>
  <c r="O1584" i="13"/>
  <c r="P1584" i="13" s="1"/>
  <c r="O1929" i="13"/>
  <c r="P1929" i="13" s="1"/>
  <c r="J1929" i="13"/>
  <c r="O1322" i="13"/>
  <c r="P1322" i="13" s="1"/>
  <c r="J1322" i="13"/>
  <c r="H791" i="20"/>
  <c r="I731" i="20"/>
  <c r="J1843" i="13"/>
  <c r="O1843" i="13"/>
  <c r="P1843" i="13" s="1"/>
  <c r="O888" i="13"/>
  <c r="P888" i="13" s="1"/>
  <c r="J888" i="13"/>
  <c r="O885" i="13"/>
  <c r="P885" i="13" s="1"/>
  <c r="J885" i="13"/>
  <c r="J1671" i="13"/>
  <c r="O1671" i="13"/>
  <c r="P1671" i="13" s="1"/>
  <c r="J1672" i="13"/>
  <c r="O1672" i="13"/>
  <c r="P1672" i="13" s="1"/>
  <c r="J1675" i="13"/>
  <c r="O1675" i="13"/>
  <c r="P1675" i="13" s="1"/>
  <c r="N1656" i="13"/>
  <c r="J100" i="13"/>
  <c r="I160" i="13"/>
  <c r="O100" i="13"/>
  <c r="P100" i="13" s="1"/>
  <c r="J101" i="13"/>
  <c r="O101" i="13"/>
  <c r="P101" i="13" s="1"/>
  <c r="J717" i="13"/>
  <c r="O717" i="13"/>
  <c r="P717" i="13" s="1"/>
  <c r="J718" i="13"/>
  <c r="O718" i="13"/>
  <c r="P718" i="13" s="1"/>
  <c r="O1756" i="13"/>
  <c r="P1756" i="13" s="1"/>
  <c r="J1756" i="13"/>
  <c r="O366" i="13"/>
  <c r="P366" i="13" s="1"/>
  <c r="J366" i="13"/>
  <c r="O452" i="13"/>
  <c r="P452" i="13" s="1"/>
  <c r="J452" i="13"/>
  <c r="O456" i="13"/>
  <c r="P456" i="13" s="1"/>
  <c r="J456" i="13"/>
  <c r="O546" i="13"/>
  <c r="P546" i="13" s="1"/>
  <c r="N525" i="13"/>
  <c r="J546" i="13"/>
  <c r="O536" i="13"/>
  <c r="P536" i="13" s="1"/>
  <c r="J536" i="13"/>
  <c r="I596" i="13"/>
  <c r="O978" i="13"/>
  <c r="P978" i="13" s="1"/>
  <c r="J978" i="13"/>
  <c r="J974" i="13"/>
  <c r="O974" i="13"/>
  <c r="P974" i="13" s="1"/>
  <c r="O1587" i="13"/>
  <c r="P1587" i="13" s="1"/>
  <c r="J1587" i="13"/>
  <c r="O190" i="13"/>
  <c r="P190" i="13" s="1"/>
  <c r="J190" i="13"/>
  <c r="J1932" i="13"/>
  <c r="N1917" i="13"/>
  <c r="O1932" i="13"/>
  <c r="P1932" i="13" s="1"/>
  <c r="J801" i="13"/>
  <c r="O801" i="13"/>
  <c r="P801" i="13" s="1"/>
  <c r="J1324" i="13"/>
  <c r="O1324" i="13"/>
  <c r="P1324" i="13" s="1"/>
  <c r="J1320" i="13"/>
  <c r="O1320" i="13"/>
  <c r="P1320" i="13" s="1"/>
  <c r="J628" i="13"/>
  <c r="O628" i="13"/>
  <c r="P628" i="13" s="1"/>
  <c r="J1146" i="13"/>
  <c r="O1146" i="13"/>
  <c r="P1146" i="13" s="1"/>
  <c r="I649" i="20"/>
  <c r="N629" i="20"/>
  <c r="N630" i="20" s="1"/>
  <c r="N719" i="20"/>
  <c r="N720" i="20" s="1"/>
  <c r="I740" i="20"/>
  <c r="H1961" i="20"/>
  <c r="I1901" i="20"/>
  <c r="H2050" i="20"/>
  <c r="I1990" i="20"/>
  <c r="I1994" i="20"/>
  <c r="N1978" i="20"/>
  <c r="N1979" i="20" s="1"/>
  <c r="I281" i="20"/>
  <c r="H341" i="20"/>
  <c r="I1001" i="20"/>
  <c r="H1061" i="20"/>
  <c r="J1408" i="13"/>
  <c r="O1408" i="13"/>
  <c r="P1408" i="13" s="1"/>
  <c r="O1062" i="13"/>
  <c r="P1062" i="13" s="1"/>
  <c r="J1062" i="13"/>
  <c r="J1060" i="13"/>
  <c r="O1060" i="13"/>
  <c r="P1060" i="13" s="1"/>
  <c r="O1234" i="13"/>
  <c r="P1234" i="13" s="1"/>
  <c r="J1234" i="13"/>
  <c r="J369" i="13"/>
  <c r="O369" i="13"/>
  <c r="P369" i="13" s="1"/>
  <c r="H1151" i="20"/>
  <c r="I1091" i="20"/>
  <c r="J1674" i="13"/>
  <c r="O1674" i="13"/>
  <c r="P1674" i="13" s="1"/>
  <c r="J719" i="13"/>
  <c r="O719" i="13"/>
  <c r="P719" i="13" s="1"/>
  <c r="N699" i="13"/>
  <c r="O711" i="13"/>
  <c r="P711" i="13" s="1"/>
  <c r="J711" i="13"/>
  <c r="O1757" i="13"/>
  <c r="P1757" i="13" s="1"/>
  <c r="J1757" i="13"/>
  <c r="O1238" i="13"/>
  <c r="P1238" i="13" s="1"/>
  <c r="J1238" i="13"/>
  <c r="O367" i="13"/>
  <c r="P367" i="13" s="1"/>
  <c r="J367" i="13"/>
  <c r="J365" i="13"/>
  <c r="O365" i="13"/>
  <c r="P365" i="13" s="1"/>
  <c r="N351" i="13"/>
  <c r="J372" i="13"/>
  <c r="O372" i="13"/>
  <c r="P372" i="13" s="1"/>
  <c r="J368" i="13"/>
  <c r="O368" i="13"/>
  <c r="P368" i="13" s="1"/>
  <c r="J455" i="13"/>
  <c r="O455" i="13"/>
  <c r="P455" i="13" s="1"/>
  <c r="O539" i="13"/>
  <c r="P539" i="13" s="1"/>
  <c r="J539" i="13"/>
  <c r="O541" i="13"/>
  <c r="P541" i="13" s="1"/>
  <c r="J541" i="13"/>
  <c r="J193" i="13"/>
  <c r="O193" i="13"/>
  <c r="P193" i="13" s="1"/>
  <c r="I247" i="13"/>
  <c r="J187" i="13"/>
  <c r="J1930" i="13"/>
  <c r="O1930" i="13"/>
  <c r="P1930" i="13" s="1"/>
  <c r="O806" i="13"/>
  <c r="P806" i="13" s="1"/>
  <c r="J806" i="13"/>
  <c r="N786" i="13"/>
  <c r="O799" i="13"/>
  <c r="P799" i="13" s="1"/>
  <c r="J799" i="13"/>
  <c r="J798" i="13"/>
  <c r="O798" i="13"/>
  <c r="P798" i="13" s="1"/>
  <c r="I1379" i="13"/>
  <c r="O1319" i="13"/>
  <c r="P1319" i="13" s="1"/>
  <c r="J1319" i="13"/>
  <c r="J624" i="13"/>
  <c r="O624" i="13"/>
  <c r="P624" i="13" s="1"/>
  <c r="I683" i="13"/>
  <c r="O623" i="13"/>
  <c r="P623" i="13" s="1"/>
  <c r="J623" i="13"/>
  <c r="J1148" i="13"/>
  <c r="O1148" i="13"/>
  <c r="P1148" i="13" s="1"/>
  <c r="H251" i="20"/>
  <c r="I191" i="20"/>
  <c r="I371" i="20"/>
  <c r="H431" i="20"/>
  <c r="I381" i="20"/>
  <c r="N359" i="20"/>
  <c r="N360" i="20" s="1"/>
  <c r="I920" i="20"/>
  <c r="N899" i="20"/>
  <c r="N900" i="20" s="1"/>
  <c r="I1541" i="20"/>
  <c r="I1601" i="20" s="1"/>
  <c r="H1601" i="20"/>
  <c r="I291" i="20"/>
  <c r="N269" i="20"/>
  <c r="N270" i="20" s="1"/>
  <c r="I641" i="20"/>
  <c r="H701" i="20"/>
  <c r="O1846" i="13"/>
  <c r="P1846" i="13" s="1"/>
  <c r="J1846" i="13"/>
  <c r="J1067" i="13"/>
  <c r="O1067" i="13"/>
  <c r="P1067" i="13" s="1"/>
  <c r="N1047" i="13"/>
  <c r="J1061" i="13"/>
  <c r="O1061" i="13"/>
  <c r="P1061" i="13" s="1"/>
  <c r="O1668" i="13"/>
  <c r="P1668" i="13" s="1"/>
  <c r="J1668" i="13"/>
  <c r="O107" i="13"/>
  <c r="P107" i="13" s="1"/>
  <c r="J107" i="13"/>
  <c r="J1759" i="13"/>
  <c r="O1759" i="13"/>
  <c r="P1759" i="13" s="1"/>
  <c r="J1154" i="13"/>
  <c r="O1154" i="13"/>
  <c r="P1154" i="13" s="1"/>
  <c r="N1134" i="13"/>
  <c r="I830" i="20"/>
  <c r="N809" i="20"/>
  <c r="N810" i="20" s="1"/>
  <c r="J1410" i="13"/>
  <c r="O1410" i="13"/>
  <c r="P1410" i="13" s="1"/>
  <c r="J1413" i="13"/>
  <c r="O1413" i="13"/>
  <c r="P1413" i="13" s="1"/>
  <c r="J1841" i="13"/>
  <c r="O1841" i="13"/>
  <c r="P1841" i="13" s="1"/>
  <c r="I1901" i="13"/>
  <c r="O884" i="13"/>
  <c r="P884" i="13" s="1"/>
  <c r="I944" i="13"/>
  <c r="J884" i="13"/>
  <c r="J1669" i="13"/>
  <c r="O1669" i="13"/>
  <c r="P1669" i="13" s="1"/>
  <c r="J714" i="13"/>
  <c r="O714" i="13"/>
  <c r="P714" i="13" s="1"/>
  <c r="O1758" i="13"/>
  <c r="P1758" i="13" s="1"/>
  <c r="J1758" i="13"/>
  <c r="J362" i="13"/>
  <c r="O362" i="13"/>
  <c r="P362" i="13" s="1"/>
  <c r="I422" i="13"/>
  <c r="J371" i="13"/>
  <c r="O371" i="13"/>
  <c r="P371" i="13" s="1"/>
  <c r="O370" i="13"/>
  <c r="P370" i="13" s="1"/>
  <c r="J370" i="13"/>
  <c r="J450" i="13"/>
  <c r="O450" i="13"/>
  <c r="P450" i="13" s="1"/>
  <c r="O545" i="13"/>
  <c r="P545" i="13" s="1"/>
  <c r="J545" i="13"/>
  <c r="O540" i="13"/>
  <c r="P540" i="13" s="1"/>
  <c r="J540" i="13"/>
  <c r="I1031" i="13"/>
  <c r="J971" i="13"/>
  <c r="J981" i="13"/>
  <c r="O981" i="13"/>
  <c r="P981" i="13" s="1"/>
  <c r="N960" i="13"/>
  <c r="J972" i="13"/>
  <c r="O972" i="13"/>
  <c r="P972" i="13" s="1"/>
  <c r="J1586" i="13"/>
  <c r="O1586" i="13"/>
  <c r="P1586" i="13" s="1"/>
  <c r="J195" i="13"/>
  <c r="O195" i="13"/>
  <c r="P195" i="13" s="1"/>
  <c r="O196" i="13"/>
  <c r="P196" i="13" s="1"/>
  <c r="J196" i="13"/>
  <c r="J191" i="13"/>
  <c r="O191" i="13"/>
  <c r="P191" i="13" s="1"/>
  <c r="O1928" i="13"/>
  <c r="P1928" i="13" s="1"/>
  <c r="I1988" i="13"/>
  <c r="J1928" i="13"/>
  <c r="J804" i="13"/>
  <c r="O804" i="13"/>
  <c r="P804" i="13" s="1"/>
  <c r="I857" i="13"/>
  <c r="J797" i="13"/>
  <c r="O797" i="13"/>
  <c r="P797" i="13" s="1"/>
  <c r="J800" i="13"/>
  <c r="O800" i="13"/>
  <c r="P800" i="13" s="1"/>
  <c r="J1323" i="13"/>
  <c r="O1323" i="13"/>
  <c r="P1323" i="13" s="1"/>
  <c r="J631" i="13"/>
  <c r="O631" i="13"/>
  <c r="P631" i="13" s="1"/>
  <c r="N612" i="13"/>
  <c r="J627" i="13"/>
  <c r="O627" i="13"/>
  <c r="P627" i="13" s="1"/>
  <c r="J1147" i="13"/>
  <c r="O1147" i="13"/>
  <c r="P1147" i="13" s="1"/>
  <c r="J1152" i="13"/>
  <c r="O1152" i="13"/>
  <c r="P1152" i="13" s="1"/>
  <c r="I1907" i="20"/>
  <c r="N1889" i="20"/>
  <c r="N1890" i="20" s="1"/>
  <c r="H1871" i="20"/>
  <c r="I1811" i="20"/>
  <c r="I112" i="20"/>
  <c r="N89" i="20"/>
  <c r="N90" i="20" s="1"/>
  <c r="H881" i="20"/>
  <c r="I821" i="20"/>
  <c r="N449" i="20"/>
  <c r="N450" i="20" s="1"/>
  <c r="I471" i="20"/>
  <c r="O1411" i="13"/>
  <c r="P1411" i="13" s="1"/>
  <c r="J1411" i="13"/>
  <c r="J1842" i="13"/>
  <c r="O1842" i="13"/>
  <c r="P1842" i="13" s="1"/>
  <c r="J1066" i="13"/>
  <c r="O1066" i="13"/>
  <c r="P1066" i="13" s="1"/>
  <c r="J277" i="13"/>
  <c r="O277" i="13"/>
  <c r="P277" i="13" s="1"/>
  <c r="J283" i="13"/>
  <c r="O283" i="13"/>
  <c r="P283" i="13" s="1"/>
  <c r="O281" i="13"/>
  <c r="P281" i="13" s="1"/>
  <c r="J281" i="13"/>
  <c r="O279" i="13"/>
  <c r="P279" i="13" s="1"/>
  <c r="J279" i="13"/>
  <c r="I251" i="20" l="1"/>
  <c r="I1871" i="20"/>
  <c r="I1151" i="20"/>
  <c r="I1061" i="20"/>
  <c r="J944" i="13"/>
  <c r="J1988" i="13"/>
  <c r="I1421" i="20"/>
  <c r="I431" i="20"/>
  <c r="I1691" i="20"/>
  <c r="I701" i="20"/>
  <c r="I1331" i="20"/>
  <c r="I2050" i="20"/>
  <c r="I791" i="20"/>
  <c r="I341" i="20"/>
  <c r="I161" i="20"/>
  <c r="J1031" i="13"/>
  <c r="N352" i="13"/>
  <c r="O351" i="13"/>
  <c r="O352" i="13" s="1"/>
  <c r="J596" i="13"/>
  <c r="O873" i="13"/>
  <c r="O874" i="13" s="1"/>
  <c r="N874" i="13"/>
  <c r="J1118" i="13"/>
  <c r="N1744" i="13"/>
  <c r="O1743" i="13"/>
  <c r="O1744" i="13" s="1"/>
  <c r="I611" i="20"/>
  <c r="J1205" i="13"/>
  <c r="O1134" i="13"/>
  <c r="O1135" i="13" s="1"/>
  <c r="N1135" i="13"/>
  <c r="J683" i="13"/>
  <c r="J1901" i="13"/>
  <c r="J247" i="13"/>
  <c r="I1781" i="20"/>
  <c r="N700" i="13"/>
  <c r="O699" i="13"/>
  <c r="O700" i="13" s="1"/>
  <c r="N526" i="13"/>
  <c r="O525" i="13"/>
  <c r="O526" i="13" s="1"/>
  <c r="J1640" i="13"/>
  <c r="J1466" i="13"/>
  <c r="I1511" i="20"/>
  <c r="O612" i="13"/>
  <c r="O613" i="13" s="1"/>
  <c r="N613" i="13"/>
  <c r="J857" i="13"/>
  <c r="N1048" i="13"/>
  <c r="O1047" i="13"/>
  <c r="O1048" i="13" s="1"/>
  <c r="I1961" i="20"/>
  <c r="N1570" i="13"/>
  <c r="O1569" i="13"/>
  <c r="O1570" i="13" s="1"/>
  <c r="J1292" i="13"/>
  <c r="J335" i="13"/>
  <c r="O960" i="13"/>
  <c r="O961" i="13" s="1"/>
  <c r="N961" i="13"/>
  <c r="O786" i="13"/>
  <c r="O787" i="13" s="1"/>
  <c r="N787" i="13"/>
  <c r="O1917" i="13"/>
  <c r="O1918" i="13" s="1"/>
  <c r="N1918" i="13"/>
  <c r="J160" i="13"/>
  <c r="O1221" i="13"/>
  <c r="O1222" i="13" s="1"/>
  <c r="N1222" i="13"/>
  <c r="I521" i="20"/>
  <c r="G24" i="2"/>
  <c r="L24" i="2" s="1"/>
  <c r="N23" i="13"/>
  <c r="O438" i="13"/>
  <c r="O439" i="13" s="1"/>
  <c r="N439" i="13"/>
  <c r="N1396" i="13"/>
  <c r="O1395" i="13"/>
  <c r="O1396" i="13" s="1"/>
  <c r="J509" i="13"/>
  <c r="O22" i="13"/>
  <c r="N90" i="13"/>
  <c r="O89" i="13"/>
  <c r="O90" i="13" s="1"/>
  <c r="I881" i="20"/>
  <c r="J422" i="13"/>
  <c r="J1379" i="13"/>
  <c r="O1656" i="13"/>
  <c r="O1657" i="13" s="1"/>
  <c r="N1657" i="13"/>
  <c r="J770" i="13"/>
  <c r="I1241" i="20"/>
  <c r="I971" i="20"/>
  <c r="O1830" i="13"/>
  <c r="O1831" i="13" s="1"/>
  <c r="N1831" i="13"/>
  <c r="O264" i="13"/>
  <c r="O265" i="13" s="1"/>
  <c r="N265" i="13"/>
  <c r="O1308" i="13"/>
  <c r="O1309" i="13" s="1"/>
  <c r="N1309" i="13"/>
  <c r="O176" i="13"/>
  <c r="O177" i="13" s="1"/>
  <c r="N177" i="13"/>
  <c r="J1814" i="13"/>
  <c r="J1727" i="13"/>
  <c r="O23" i="13" l="1"/>
  <c r="P22" i="13"/>
  <c r="P23" i="13" s="1"/>
</calcChain>
</file>

<file path=xl/sharedStrings.xml><?xml version="1.0" encoding="utf-8"?>
<sst xmlns="http://schemas.openxmlformats.org/spreadsheetml/2006/main" count="4255" uniqueCount="1089">
  <si>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</si>
  <si>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</si>
  <si>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</si>
  <si>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</si>
  <si>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</si>
  <si>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</si>
  <si>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</si>
  <si>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</si>
  <si>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</si>
  <si>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</si>
  <si>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</si>
  <si>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</si>
  <si>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</si>
  <si>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</si>
  <si>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</si>
  <si>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</si>
  <si>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</si>
  <si>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</si>
  <si>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</si>
  <si>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</si>
  <si>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</si>
  <si>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</si>
  <si>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</si>
  <si>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</si>
  <si>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</si>
  <si>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</si>
  <si>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</si>
  <si>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</si>
  <si>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</si>
  <si>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</si>
  <si>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</si>
  <si>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</si>
  <si>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</si>
  <si>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</si>
  <si>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</si>
  <si>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</si>
  <si>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</si>
  <si>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</si>
  <si>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</si>
  <si>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</si>
  <si>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</si>
  <si>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</si>
  <si>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</si>
  <si>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</si>
  <si>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</si>
  <si>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</si>
  <si>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</si>
  <si>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</si>
  <si>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</si>
  <si>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</si>
  <si>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</si>
  <si>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</si>
  <si>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</si>
  <si>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</si>
  <si>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</si>
  <si>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</si>
  <si>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</si>
  <si>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</si>
  <si>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</si>
  <si>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</si>
  <si>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</si>
  <si>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</si>
  <si>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</si>
  <si>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</si>
  <si>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</si>
  <si>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</si>
  <si>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</si>
  <si>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</si>
  <si>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</si>
  <si>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</si>
  <si>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</si>
  <si>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</si>
  <si>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</si>
  <si>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</si>
  <si>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</si>
  <si>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</si>
  <si>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</si>
  <si>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</si>
  <si>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</si>
  <si>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</si>
  <si>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</si>
  <si>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</si>
  <si>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</si>
  <si>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</si>
  <si>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</si>
  <si>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</si>
  <si>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</si>
  <si>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</si>
  <si>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</si>
  <si>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</si>
  <si>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</si>
  <si>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</si>
  <si>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</si>
  <si>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</si>
  <si>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</si>
  <si>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</si>
  <si>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</si>
  <si>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</si>
  <si>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</si>
  <si>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</si>
  <si>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</si>
  <si>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</si>
  <si>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</si>
  <si>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</si>
  <si>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</si>
  <si>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</si>
  <si>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</si>
  <si>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</si>
  <si>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</si>
  <si>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</si>
  <si>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</si>
  <si>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</si>
  <si>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</si>
  <si>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</si>
  <si>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</si>
  <si>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</si>
  <si>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</si>
  <si>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</si>
  <si>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</si>
  <si>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</si>
  <si>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</si>
  <si>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</si>
  <si>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</si>
  <si>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</si>
  <si>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</si>
  <si>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</si>
  <si>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</si>
  <si>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</si>
  <si>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</si>
  <si>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</si>
  <si>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</si>
  <si>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</si>
  <si>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</si>
  <si>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</si>
  <si>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</si>
  <si>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</si>
  <si>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</si>
  <si>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</si>
  <si>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</si>
  <si>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</si>
  <si>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</si>
  <si>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</si>
  <si>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</si>
  <si>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</si>
  <si>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</si>
  <si>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</si>
  <si>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</si>
  <si>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</si>
  <si>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</si>
  <si>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</si>
  <si>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</si>
  <si>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</si>
  <si>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</si>
  <si>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</si>
  <si>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</si>
  <si>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</si>
  <si>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</si>
  <si>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</si>
  <si>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</si>
  <si>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</si>
  <si>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</si>
  <si>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</si>
  <si>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</si>
  <si>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</si>
  <si>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</si>
  <si>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</si>
  <si>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</si>
  <si>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</si>
  <si>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</si>
  <si>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</si>
  <si>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</si>
  <si>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</si>
  <si>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</si>
  <si>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</si>
  <si>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</si>
  <si>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</si>
  <si>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</si>
  <si>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</si>
  <si>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</si>
  <si>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</si>
  <si>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</si>
  <si>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</si>
  <si>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</si>
  <si>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</si>
  <si>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</si>
  <si>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</si>
  <si>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</si>
  <si>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</si>
  <si>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</si>
  <si>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</si>
  <si>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</si>
  <si>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</si>
  <si>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</si>
  <si>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</si>
  <si>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</si>
  <si>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</si>
  <si>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</si>
  <si>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</si>
  <si>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</si>
  <si>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</si>
  <si>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</si>
  <si>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</si>
  <si>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</si>
  <si>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</si>
  <si>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</si>
  <si>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</si>
  <si>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</si>
  <si>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</si>
  <si>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</si>
  <si>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</si>
  <si>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</si>
  <si>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</si>
  <si>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</si>
  <si>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</si>
  <si>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</si>
  <si>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</si>
  <si>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</si>
  <si>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</si>
  <si>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</si>
  <si>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</si>
  <si>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</si>
  <si>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</si>
  <si>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</si>
  <si>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</si>
  <si>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</si>
  <si>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</si>
  <si>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</si>
  <si>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</si>
  <si>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</si>
  <si>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</si>
  <si>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</si>
  <si>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</si>
  <si>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</si>
  <si>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</si>
  <si>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</si>
  <si>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</si>
  <si>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</si>
  <si>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</si>
  <si>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</si>
  <si>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</si>
  <si>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</si>
  <si>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</si>
  <si>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</si>
  <si>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</si>
  <si>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</si>
  <si>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</si>
  <si>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</si>
  <si>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</si>
  <si>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</si>
  <si>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</si>
  <si>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</si>
  <si>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</si>
  <si>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</si>
  <si>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</si>
  <si>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</si>
  <si>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</si>
  <si>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</si>
  <si>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</si>
  <si>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</si>
  <si>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</si>
  <si>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</si>
  <si>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</si>
  <si>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</si>
  <si>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</si>
  <si>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</si>
  <si>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</si>
  <si>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</si>
  <si>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</si>
  <si>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</si>
  <si>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</si>
  <si>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</si>
  <si>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</si>
  <si>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</si>
  <si>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</si>
  <si>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</si>
  <si>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</si>
  <si>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</si>
  <si>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</si>
  <si>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</si>
  <si>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</si>
  <si>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</si>
  <si>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</si>
  <si>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</si>
  <si>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</si>
  <si>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</si>
  <si>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</si>
  <si>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</si>
  <si>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</si>
  <si>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</si>
  <si>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</si>
  <si>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</si>
  <si>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</si>
  <si>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</si>
  <si>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</si>
  <si>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</si>
  <si>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</si>
  <si>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</si>
  <si>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</si>
  <si>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</si>
  <si>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</si>
  <si>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</si>
  <si>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</si>
  <si>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</si>
  <si>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</si>
  <si>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</si>
  <si>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</si>
  <si>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</si>
  <si>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</si>
  <si>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</si>
  <si>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</si>
  <si>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</si>
  <si>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</si>
  <si>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</si>
  <si>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</si>
  <si>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</si>
  <si>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</si>
  <si>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</si>
  <si>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</si>
  <si>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</si>
  <si>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</si>
  <si>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</si>
  <si>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</si>
  <si>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</si>
  <si>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</si>
  <si>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</si>
  <si>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</si>
  <si>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</si>
  <si>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</si>
  <si>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</si>
  <si>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</si>
  <si>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</si>
  <si>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</si>
  <si>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</si>
  <si>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</si>
  <si>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</si>
  <si>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</si>
  <si>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</si>
  <si>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</si>
  <si>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</si>
  <si>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</si>
  <si>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</si>
  <si>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</si>
  <si>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</si>
  <si>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</si>
  <si>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</si>
  <si>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</si>
  <si>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</si>
  <si>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</si>
  <si>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</si>
  <si>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</si>
  <si>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</si>
  <si>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</si>
  <si>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</si>
  <si>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</si>
  <si>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</si>
  <si>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</si>
  <si>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</si>
  <si>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</si>
  <si>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</si>
  <si>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</si>
  <si>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</si>
  <si>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</si>
  <si>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</si>
  <si>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</si>
  <si>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</si>
  <si>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</si>
  <si>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</si>
  <si>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</si>
  <si>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</si>
  <si>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</si>
  <si>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</si>
  <si>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</si>
  <si>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</si>
  <si>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</si>
  <si>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</si>
  <si>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</si>
  <si>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</si>
  <si>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</si>
  <si>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</si>
  <si>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</si>
  <si>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</si>
  <si>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</si>
  <si>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</si>
  <si>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</si>
  <si>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</si>
  <si>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</si>
  <si>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</si>
  <si>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</si>
  <si>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</si>
  <si>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</si>
  <si>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</si>
  <si>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</si>
  <si>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</si>
  <si>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</si>
  <si>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</si>
  <si>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</si>
  <si>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</si>
  <si>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</si>
  <si>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</si>
  <si>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</si>
  <si>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</si>
  <si>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</si>
  <si>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</si>
  <si>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</si>
  <si>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</si>
  <si>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</si>
  <si>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</si>
  <si>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</si>
  <si>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</si>
  <si>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</si>
  <si>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</si>
  <si>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</si>
  <si>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</si>
  <si>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</si>
  <si>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</si>
  <si>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</si>
  <si>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</si>
  <si>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</si>
  <si>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</si>
  <si>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</si>
  <si>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</si>
  <si>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</si>
  <si>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</si>
  <si>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</si>
  <si>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</si>
  <si>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</si>
  <si>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</si>
  <si>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</si>
  <si>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</si>
  <si>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</si>
  <si>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</si>
  <si>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</si>
  <si>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</si>
  <si>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</si>
  <si>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</si>
  <si>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</si>
  <si>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</si>
  <si>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</si>
  <si>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</si>
  <si>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</si>
  <si>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</si>
  <si>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</si>
  <si>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</si>
  <si>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</si>
  <si>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</si>
  <si>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</si>
  <si>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</si>
  <si>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</si>
  <si>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</si>
  <si>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</si>
  <si>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</si>
  <si>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</si>
  <si>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</si>
  <si>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</si>
  <si>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</si>
  <si>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</si>
  <si>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</si>
  <si>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</si>
  <si>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</si>
  <si>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</si>
  <si>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</si>
  <si>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</si>
  <si>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</si>
  <si>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</si>
  <si>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</si>
  <si>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</si>
  <si>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</si>
  <si>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</si>
  <si>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</si>
  <si>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</si>
  <si>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</si>
  <si>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</si>
  <si>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</si>
  <si>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</si>
  <si>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</si>
  <si>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</si>
  <si>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</si>
  <si>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</si>
  <si>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</si>
  <si>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</si>
  <si>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</si>
  <si>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</si>
  <si>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</si>
  <si>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</si>
  <si>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</si>
  <si>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</si>
  <si>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</si>
  <si>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</si>
  <si>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</si>
  <si>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</si>
  <si>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</si>
  <si>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</si>
  <si>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</si>
  <si>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</si>
  <si>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</si>
  <si>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</si>
  <si>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</si>
  <si>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</si>
  <si>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</si>
  <si>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</si>
  <si>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</si>
  <si>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</si>
  <si>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</si>
  <si>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</si>
  <si>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</si>
  <si>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</si>
  <si>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</si>
  <si>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</si>
  <si>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</si>
  <si>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</si>
  <si>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</si>
  <si>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</si>
  <si>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</si>
  <si>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</si>
  <si>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</si>
  <si>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</si>
  <si>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</si>
  <si>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</si>
  <si>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</si>
  <si>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</si>
  <si>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</si>
  <si>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</si>
  <si>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</si>
  <si>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</si>
  <si>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</si>
  <si>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</si>
  <si>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</si>
  <si>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</si>
  <si>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</si>
  <si>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</si>
  <si>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</si>
  <si>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</si>
  <si>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</si>
  <si>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</si>
  <si>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</si>
  <si>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</si>
  <si>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</si>
  <si>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</si>
  <si>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</si>
  <si>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</si>
  <si>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</si>
  <si>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</si>
  <si>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</si>
  <si>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</si>
  <si>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</si>
  <si>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</si>
  <si>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</si>
  <si>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</si>
  <si>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</si>
  <si>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</si>
  <si>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</si>
  <si>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</si>
  <si>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</si>
  <si>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</si>
  <si>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</si>
  <si>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</si>
  <si>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</si>
  <si>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</si>
  <si>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</si>
  <si>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</si>
  <si>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</si>
  <si>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</si>
  <si>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</si>
  <si>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</si>
  <si>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</si>
  <si>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</si>
  <si>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</si>
  <si>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</si>
  <si>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</si>
  <si>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</si>
  <si>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</si>
  <si>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</si>
  <si>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</si>
  <si>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</si>
  <si>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</si>
  <si>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</si>
  <si>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</si>
  <si>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</si>
  <si>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</si>
  <si>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</si>
  <si>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</si>
  <si>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</si>
  <si>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</si>
  <si>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</si>
  <si>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</si>
  <si>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</si>
  <si>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</si>
  <si>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</si>
  <si>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</si>
  <si>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</si>
  <si>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</si>
  <si>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</si>
  <si>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</si>
  <si>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</si>
  <si>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</si>
  <si>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</si>
  <si>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</si>
  <si>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</si>
  <si>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</si>
  <si>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</si>
  <si>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</si>
  <si>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</si>
  <si>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</si>
  <si>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</si>
  <si>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</si>
  <si>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</si>
  <si>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</si>
  <si>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</si>
  <si>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</si>
  <si>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</si>
  <si>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</si>
  <si>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</si>
  <si>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</si>
  <si>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</si>
  <si>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</si>
  <si>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</si>
  <si>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</si>
  <si>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</si>
  <si>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</si>
  <si>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</si>
  <si>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</si>
  <si>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</si>
  <si>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</si>
  <si>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</si>
  <si>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</si>
  <si>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</si>
  <si>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</si>
  <si>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</si>
  <si>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</si>
  <si>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</si>
  <si>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</si>
  <si>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</si>
  <si>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</si>
  <si>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</si>
  <si>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</si>
  <si>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</si>
  <si>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</si>
  <si>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</si>
  <si>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</si>
  <si>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</si>
  <si>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</si>
  <si>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</si>
  <si>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</si>
  <si>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</si>
  <si>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</si>
  <si>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</si>
  <si>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</si>
  <si>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</si>
  <si>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</si>
  <si>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</si>
  <si>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</si>
  <si>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</si>
  <si>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</si>
  <si>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</si>
  <si>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</si>
  <si>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</si>
  <si>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</si>
  <si>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</si>
  <si>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</si>
  <si>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</si>
  <si>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</si>
  <si>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</si>
  <si>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</si>
  <si>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</si>
  <si>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</si>
  <si>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</si>
  <si>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</si>
  <si>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</si>
  <si>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</si>
  <si>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</si>
  <si>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</si>
  <si>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</si>
  <si>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</si>
  <si>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</si>
  <si>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</si>
  <si>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</si>
  <si>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</si>
  <si>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</si>
  <si>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</si>
  <si>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</si>
  <si>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</si>
  <si>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</si>
  <si>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</si>
  <si>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</si>
  <si>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</si>
  <si>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</si>
  <si>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</si>
  <si>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</si>
  <si>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</si>
  <si>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</si>
  <si>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</si>
  <si>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</si>
  <si>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</si>
  <si>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</si>
  <si>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</si>
  <si>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</si>
  <si>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</si>
  <si>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</si>
  <si>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</si>
  <si>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</si>
  <si>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</si>
  <si>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</si>
  <si>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</si>
  <si>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</si>
  <si>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</si>
  <si>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</si>
  <si>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</si>
  <si>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</si>
  <si>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</si>
  <si>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</si>
  <si>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</si>
  <si>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</si>
  <si>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</si>
  <si>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</si>
  <si>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</si>
  <si>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</si>
  <si>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</si>
  <si>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</si>
  <si>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</si>
  <si>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</si>
  <si>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</si>
  <si>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</si>
  <si>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</si>
  <si>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</si>
  <si>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</si>
  <si>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</si>
  <si>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</si>
  <si>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</si>
  <si>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</si>
  <si>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</si>
  <si>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</si>
  <si>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</si>
  <si>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</si>
  <si>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</si>
  <si>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</si>
  <si>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</si>
  <si>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</si>
  <si>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</si>
  <si>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</si>
  <si>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</si>
  <si>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</si>
  <si>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</si>
  <si>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</si>
  <si>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</si>
  <si>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</si>
  <si>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</si>
  <si>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</si>
  <si>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</si>
  <si>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</si>
  <si>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</si>
  <si>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</si>
  <si>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</si>
  <si>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</si>
  <si>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</si>
  <si>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</si>
  <si>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</si>
  <si>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</si>
  <si>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</si>
  <si>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</si>
  <si>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</si>
  <si>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</si>
  <si>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</si>
  <si>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</si>
  <si>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</si>
  <si>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</si>
  <si>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</si>
  <si>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</si>
  <si>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</si>
  <si>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</si>
  <si>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</si>
  <si>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</si>
  <si>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</si>
  <si>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</si>
  <si>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</si>
  <si>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</si>
  <si>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</si>
  <si>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</si>
  <si>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</si>
  <si>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</si>
  <si>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</si>
  <si>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</si>
  <si>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</si>
  <si>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</si>
  <si>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</si>
  <si>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</si>
  <si>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</si>
  <si>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</si>
  <si>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</si>
  <si>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</si>
  <si>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</si>
  <si>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</si>
  <si>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</si>
  <si>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</si>
  <si>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</si>
  <si>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</si>
  <si>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</si>
  <si>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</si>
  <si>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</si>
  <si>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Ohio Transmission Company</t>
  </si>
  <si>
    <t>Prepaid Insurance</t>
  </si>
  <si>
    <t>Prepaid Use Taxes</t>
  </si>
  <si>
    <t>Prepaid Lease</t>
  </si>
  <si>
    <t>Misc General Expenses</t>
  </si>
  <si>
    <t>Corporate &amp; Fiscal Expenses</t>
  </si>
  <si>
    <t>Assoc Business Development Exp</t>
  </si>
  <si>
    <t>OHIO JURISDICTION</t>
  </si>
  <si>
    <t>Real and Personal Property - Ohio</t>
  </si>
  <si>
    <t>RTEP ID: b0570 (LIMA-STERLING 138 KV LINE: REB)</t>
  </si>
  <si>
    <t>No</t>
  </si>
  <si>
    <t>RTEP ID: b1231 (WAPAKONETA-WEST MOULTON 138/69KV Transformer)</t>
  </si>
  <si>
    <t xml:space="preserve">RTEP ID: b1034.1 (South Canton - West Canton  138kV line and Wagenhals – Wayview 138kV </t>
  </si>
  <si>
    <t>RTEP ID: b1034.8 (138kV Circuit Breakers at the West Canton, South Canton, Canton Central, and Wagenhals stations)</t>
  </si>
  <si>
    <t>RTEP ID: b1864.2 (West Bellaire-Brues 138 kV Circuit)</t>
  </si>
  <si>
    <t>RTEP ID: b1870 (Replace Ohio Central transformer #1 345/138/12 kV 450 MVA for a 345/138/34.5 kV 675 MVA transformer)</t>
  </si>
  <si>
    <t>RTEP ID: b1032.2 (Construct two 138kV outlets to Delano 138kV station and to Camp Sherman station)</t>
  </si>
  <si>
    <t>RTEP ID: b1034.2 (Loop the existing South Canton - Wayview 138kV circuit in-and-out of West Canton)</t>
  </si>
  <si>
    <t>RTEP ID: b1970 (Reconductor 13 miles of Kammer-West Bellaire 345 kV line)</t>
  </si>
  <si>
    <t>RTEP ID: b1034.3 (Install a 345/138kV 450 MVA transformer at Canton Central)</t>
  </si>
  <si>
    <t>no</t>
  </si>
  <si>
    <t>RTEP ID: b2018 (Loop Conesville-Bixby 345 kV circuit into Ohio Central)</t>
  </si>
  <si>
    <t xml:space="preserve"> $                       -  </t>
  </si>
  <si>
    <t>RTEP ID: b2021 (Add 345/138 kV Transformers at Sporn, Kanawha River, and Muskingum River stations)</t>
  </si>
  <si>
    <t>RTEP ID: b2032 (Rebuild 138 kV Elliott Tap-Poston line)</t>
  </si>
  <si>
    <t>RTEP ID: b1032.1 (Construct a new 345/138kV station on the Marquis-Bixby 345kV line near the intersection with Ross - Highland 69kV )</t>
  </si>
  <si>
    <t>RTEP ID: b1032.4 (Install 138/69kV transformer at new station and connect in the Ross - Highland 69kV line)</t>
  </si>
  <si>
    <t>RTEP ID: b1666 (Build an 8 breaker 138 kV station tapping both circuits of the Fostoria-East Lima 138 kV line)</t>
  </si>
  <si>
    <t>RTEP ID: b1819 (Rebuild the Robinson Park-Sorneson 138 kV line corridor as a 345 kV double circuit line with one side operated at 345 kV and one side at 138 kV)</t>
  </si>
  <si>
    <t>RTEP ID: b1957 (Terminate Transformer #2 at SW Lima in new bay position)</t>
  </si>
  <si>
    <t>RTEP ID: b2019 (Establish Burger 345/138 kV station)</t>
  </si>
  <si>
    <t>RTEP ID: b2017 (Reconductor or rebuild Sporn - Waterford - Muskingum River 345 kV line)</t>
  </si>
  <si>
    <t>RTEP ID: b1818 (Expand Allen w/second xfmr. And cut-in 138 kV double circuit tower line)</t>
  </si>
  <si>
    <t>AEPTCo Subsidiaraies in PJM</t>
  </si>
  <si>
    <t>Plant Related Insurance Policies</t>
  </si>
  <si>
    <t xml:space="preserve">Ohio State Tax Rate </t>
  </si>
  <si>
    <t xml:space="preserve">Real and Personal Property - </t>
  </si>
  <si>
    <t>CSP</t>
  </si>
  <si>
    <t>OPCo</t>
  </si>
  <si>
    <t>Note: AEP Ohio Transmission Company shall initially use the composite depreciation rate for APCo, I&amp;M and KPCo shown above to estimate depreciation expense for transmission projects in worksheets J and K until a composite depreciation rate based on transmission plant in service and depreciation expenses recorded by AEP Ohio Transmission Company for its own transmission facilities can be calculated in AEP Ohio Transmission Company's the first Annual Update including a True-up TCOS.</t>
  </si>
  <si>
    <t>RTEP ID: b2833 (Reconductor Maddox Creed-East Lima 345kV circuit w 2-954 ACSS Cardinal cond)</t>
  </si>
  <si>
    <t>Capital Structure Equity Limit (Note Z)</t>
  </si>
  <si>
    <t>Z</t>
  </si>
  <si>
    <t xml:space="preserve">Per the settlement in EL17-13, equity is limited to 55% of the Company's capital structure.  If the percentage of actual equity exceeds the cap, the excess is included as long term debt in the capital structure.  </t>
  </si>
  <si>
    <t>Cap Limit</t>
  </si>
  <si>
    <t>1650001</t>
  </si>
  <si>
    <t>1650021</t>
  </si>
  <si>
    <t>1650023</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</si>
  <si>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</si>
  <si>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</si>
  <si>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</si>
  <si>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</si>
  <si>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</si>
  <si>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</si>
  <si>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</si>
  <si>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</si>
  <si>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</si>
  <si>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</si>
  <si>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</si>
  <si>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</si>
  <si>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</si>
  <si>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</si>
  <si>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</si>
  <si>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</si>
  <si>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</si>
  <si>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</si>
  <si>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</si>
  <si>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9302003</t>
  </si>
  <si>
    <t>9302007</t>
  </si>
  <si>
    <t>TX AMORT POLLUTION CONT EQPT</t>
  </si>
  <si>
    <t>NON-UTILITY DEFERRED FIT 281.2</t>
  </si>
  <si>
    <t>SFAS 109 FLOW-THRU 281.3</t>
  </si>
  <si>
    <t>SFAS 109 EXCESS DFIT 281.4</t>
  </si>
  <si>
    <t>BOOK VS. TAX DEPRECIATION</t>
  </si>
  <si>
    <t>R &amp; D DEDUCTION - SECTION 174</t>
  </si>
  <si>
    <t>GAIN/LOSS ON ACRS/MACRS PROPERTY</t>
  </si>
  <si>
    <t>ABFUDC</t>
  </si>
  <si>
    <t>INT EXP CAPITALIZED FOR TAX</t>
  </si>
  <si>
    <t>CIAC - BOOK RECEIPTS</t>
  </si>
  <si>
    <t>BOOK/TAX UNIT OF PROPERTY ADJ</t>
  </si>
  <si>
    <t>BK/TX UNIT OF PROPERTY ADJ-SEC 481 ADJ</t>
  </si>
  <si>
    <t>TX ACCEL AMORT - CAPITALIZED SOFTWARE</t>
  </si>
  <si>
    <t>CAPITALIZED SOFTWARE COST-BOOK</t>
  </si>
  <si>
    <t xml:space="preserve">REMOVAL COST </t>
  </si>
  <si>
    <t>EXCESS ADFIT - PROTECTED</t>
  </si>
  <si>
    <t>EXCESS ADFIT - UNPROTECTED</t>
  </si>
  <si>
    <t xml:space="preserve">NON-UTILITY DEFERRED FIT </t>
  </si>
  <si>
    <t>SFAS 109 FLOW-THRU 282.3</t>
  </si>
  <si>
    <t>SFAS 109 EXCESS DFIT 282.4</t>
  </si>
  <si>
    <t>NOL STATE CARRYFORWARD</t>
  </si>
  <si>
    <t>NOL STATE CARRYFORWARD - VALUATION ALLOWANCE</t>
  </si>
  <si>
    <t>REG ASSET-TRANSCO PRE-FORMATION COSTS</t>
  </si>
  <si>
    <t>SFAS 109 FLOW-THRU 283.3</t>
  </si>
  <si>
    <t>SFAS 109 EXCESS DFIT 283.4</t>
  </si>
  <si>
    <t>SFAS 133 ADIT FED - SFAS 133 NONAFFIL 2830006</t>
  </si>
  <si>
    <t>ADIT - FED-HDG-CF-INT RATE 2830015</t>
  </si>
  <si>
    <t xml:space="preserve">SFAS 109 - DEFD STATE INCOME TAXES </t>
  </si>
  <si>
    <t>NOL &amp; TAX CREDIT C/F - DEF TAX ASSET</t>
  </si>
  <si>
    <t>PROV POSS REV REFDS</t>
  </si>
  <si>
    <t>ACCRD COMPANYWIDE INCENTV PLAN</t>
  </si>
  <si>
    <t>ACCRUED INTEREST-LONG-TERM - FIN 48</t>
  </si>
  <si>
    <t>AMT CREDIT - DEFERRED</t>
  </si>
  <si>
    <t>NOL - DEFERRED TAX ASSET RECLASS</t>
  </si>
  <si>
    <t>SFAS 109 FLOW-THRU 190.3</t>
  </si>
  <si>
    <t>SFAS 109 EXCESS DFIT 190.4</t>
  </si>
  <si>
    <t>SFAS 133 ADIT FED - SFAS NONAFFIL 1900006</t>
  </si>
  <si>
    <t>ADIT FED - PENSION OCI NAF 1900009</t>
  </si>
  <si>
    <t>ADIT-FED-HDG-CF-INT RATE1900015</t>
  </si>
  <si>
    <t>DEFERRED SIT  1901002</t>
  </si>
  <si>
    <t>TAX CREDIT C/F - DEF TAX ASSET</t>
  </si>
  <si>
    <t>TAX CREDIT C/F - DEF TAX ASSET- MJE</t>
  </si>
  <si>
    <t>481 a BONUS DEPRECIATION</t>
  </si>
  <si>
    <t>TAX DEPRECIATION LOOKBACK</t>
  </si>
  <si>
    <t>NOL-STATE C/F-DEF TAX ASSET-L/T - OH MUNI</t>
  </si>
  <si>
    <t>AEP OHIO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</si>
  <si>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</si>
  <si>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</si>
  <si>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</si>
  <si>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</si>
  <si>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</si>
  <si>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</si>
  <si>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</si>
  <si>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</si>
  <si>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</si>
  <si>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</si>
  <si>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</si>
  <si>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</si>
  <si>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</si>
  <si>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</si>
  <si>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</si>
  <si>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</si>
  <si>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</si>
  <si>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</si>
  <si>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</si>
  <si>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</si>
  <si>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</si>
  <si>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</si>
  <si>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</si>
  <si>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</si>
  <si>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</si>
  <si>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</si>
  <si>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</si>
  <si>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</si>
  <si>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</si>
  <si>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</si>
  <si>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</si>
  <si>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</si>
  <si>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</si>
  <si>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</si>
  <si>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</si>
  <si>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</si>
  <si>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</si>
  <si>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</si>
  <si>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</si>
  <si>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</si>
  <si>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</si>
  <si>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</si>
  <si>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</si>
  <si>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</si>
  <si>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</si>
  <si>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</si>
  <si>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</si>
  <si>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</si>
  <si>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</si>
  <si>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</si>
  <si>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</si>
  <si>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</si>
  <si>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</si>
  <si>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</si>
  <si>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</si>
  <si>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</si>
  <si>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</si>
  <si>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GENERAL PLANT</t>
  </si>
  <si>
    <t>Stores Equipment</t>
  </si>
  <si>
    <t>Laboratory Equipment</t>
  </si>
  <si>
    <t>WS B - 1 Col N, ADIT Item 9.06</t>
  </si>
  <si>
    <t>2018 Forecasted Revenue Requirement For Year 2018</t>
  </si>
  <si>
    <t>An over or under collection will be recovered prorata over 2018, held for 2019 and returned prorate over 2020</t>
  </si>
  <si>
    <t>INSURANCE PREMIUMS ACCRUED</t>
  </si>
  <si>
    <t>BOOK OPERATING LEASE - ASSET</t>
  </si>
  <si>
    <t>9301014</t>
  </si>
  <si>
    <t>Video Communications</t>
  </si>
  <si>
    <t>9302017</t>
  </si>
  <si>
    <t>SellingPrice Normalization Exp</t>
  </si>
  <si>
    <t>WS B - 1 Col N, ADIT Item 5.16</t>
  </si>
  <si>
    <t>WS B - 1 Col N, ADIT Item 5.17</t>
  </si>
  <si>
    <t>EFFECTIVE AS OF 1/1/2020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</si>
  <si>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</si>
  <si>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</si>
  <si>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</si>
  <si>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</si>
  <si>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</si>
  <si>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</si>
  <si>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</si>
  <si>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</si>
  <si>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</si>
  <si>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</si>
  <si>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</si>
  <si>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</si>
  <si>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</si>
  <si>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r>
      <t xml:space="preserve">Note: </t>
    </r>
    <r>
      <rPr>
        <sz val="12"/>
        <rFont val="Arial MT"/>
      </rPr>
      <t>Per the Settlement in Docket No. ER21-735, Appendix A.1.2, AEP OHIO TRANSMISSION COMPANY shall use the depreciation rates shown above by FERC Account until such time as the FERC approves new depreciation rates pusuant to a Section 205 or 206 filing to change rates.</t>
    </r>
  </si>
  <si>
    <t>NOL ADJUSTMENT</t>
  </si>
  <si>
    <t>NOL CONTRA</t>
  </si>
  <si>
    <t>Prepaid Insurance - EIS</t>
  </si>
  <si>
    <t>9302004</t>
  </si>
  <si>
    <t>Research, Develop&amp;Demonstr Exp</t>
  </si>
  <si>
    <t>WS B - 2 Col B/C, ADIT Item 2.14</t>
  </si>
  <si>
    <t>WS B - 1 Col B/C, ADIT Item 5.22</t>
  </si>
  <si>
    <t>WS B - 1 Col B/C, ADIT Item 9.11</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</si>
  <si>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</si>
  <si>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</si>
  <si>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</si>
  <si>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</si>
  <si>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</si>
  <si>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</si>
  <si>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</si>
  <si>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</si>
  <si>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</si>
  <si>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</si>
  <si>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ATTACHMENT H-20B</t>
  </si>
  <si>
    <t>WORKSHEET B-3-X</t>
  </si>
  <si>
    <t>TAX REMEASUREMENT WORKSHEET</t>
  </si>
  <si>
    <t>AEP EAST TRANSMISSION COMPANIES</t>
  </si>
  <si>
    <t>Docket ER20-1888-000</t>
  </si>
  <si>
    <t>AEP OHIO TRANSMISSON COMPANY</t>
  </si>
  <si>
    <t>Compliance Filing</t>
  </si>
  <si>
    <t>Attachment 12</t>
  </si>
  <si>
    <t>WORKSHEET B-3-A</t>
  </si>
  <si>
    <t>Page 4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</si>
  <si>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</si>
  <si>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</si>
  <si>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</si>
  <si>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</si>
  <si>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</si>
  <si>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</si>
  <si>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</si>
  <si>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</si>
  <si>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</si>
  <si>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</si>
  <si>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</si>
  <si>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</si>
  <si>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</si>
  <si>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</si>
  <si>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t>
  </si>
  <si>
    <t>1901001</t>
  </si>
  <si>
    <t>2018 FF1 P. 234 Col (b) Line 8</t>
  </si>
  <si>
    <t>2</t>
  </si>
  <si>
    <t>2821001</t>
  </si>
  <si>
    <t>2018 FF1 P. 274 Col (b) Line 5</t>
  </si>
  <si>
    <t>3</t>
  </si>
  <si>
    <t>283 - Utility</t>
  </si>
  <si>
    <t>2018 FF1 P. 276 Col (b) Line 9</t>
  </si>
  <si>
    <t>Less: Accum Deferred SIT -Other</t>
  </si>
  <si>
    <t>4</t>
  </si>
  <si>
    <t>2831001</t>
  </si>
  <si>
    <t>5</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</si>
  <si>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</si>
  <si>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</si>
  <si>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</si>
  <si>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</si>
  <si>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</si>
  <si>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</si>
  <si>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</si>
  <si>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</si>
  <si>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</si>
  <si>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</si>
  <si>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</si>
  <si>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</si>
  <si>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</si>
  <si>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</si>
  <si>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</si>
  <si>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</si>
  <si>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165001222</t>
  </si>
  <si>
    <t>9280006</t>
  </si>
  <si>
    <t>State Publ Serv CommissionFees</t>
  </si>
  <si>
    <t>REG ASSET-FERC Formula Rates Under Recvr</t>
  </si>
  <si>
    <t>1/1/2023 Beginning  Balances</t>
  </si>
  <si>
    <t>12/31/2023 Ending Balance</t>
  </si>
  <si>
    <t>165001223</t>
  </si>
  <si>
    <t>ACRS BENEFIT NORMALIZED</t>
  </si>
  <si>
    <t>R &amp; D DEDUCTION - SEC 174</t>
  </si>
  <si>
    <t>CAPITALIZED SOFTWARE COST-BOOKS</t>
  </si>
  <si>
    <t>BOOK OPERATING LEASE - LIAB</t>
  </si>
  <si>
    <t>REMOVAL CST</t>
  </si>
  <si>
    <t>P.263 Ln 16(i)</t>
  </si>
  <si>
    <t>P.263 Ln 17(i)</t>
  </si>
  <si>
    <t>P.263 Ln 23(i)</t>
  </si>
  <si>
    <t>P.263 Ln 24(i)</t>
  </si>
  <si>
    <t>P.263 Ln 25(i)</t>
  </si>
  <si>
    <t>P.263 Ln 27(i)</t>
  </si>
  <si>
    <t>P.263 Ln 28(i)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</si>
</sst>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 numFmtId="199" formatCode="_(* #,##0.000_);_(* \(#,##0.000\);_(* &quot;-&quot;??_);_(@_)"/>
  </numFmts>
  <fonts count="154">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6">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6" fillId="0" borderId="0" applyFont="0" applyFill="0" applyBorder="0" applyAlignment="0" applyProtection="0"/>
    <xf numFmtId="43" fontId="136" fillId="0" borderId="0" applyFont="0" applyFill="0" applyBorder="0" applyAlignment="0" applyProtection="0"/>
    <xf numFmtId="43" fontId="146"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6"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7" fillId="0" borderId="0"/>
    <xf numFmtId="0" fontId="11" fillId="0" borderId="0"/>
    <xf numFmtId="0" fontId="11" fillId="0" borderId="0"/>
    <xf numFmtId="0" fontId="147"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6"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83">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0" applyFont="1" applyFill="1" applyAlignment="1">
      <alignment horizontal="center"/>
    </xf>
    <xf numFmtId="0" fontId="14" fillId="0" borderId="0" xfId="250" applyFont="1" applyFill="1"/>
    <xf numFmtId="0" fontId="0" fillId="0" borderId="0" xfId="0" applyBorder="1"/>
    <xf numFmtId="0" fontId="3" fillId="0" borderId="0" xfId="0" applyFont="1"/>
    <xf numFmtId="0" fontId="0" fillId="0" borderId="0" xfId="0" applyFill="1"/>
    <xf numFmtId="0" fontId="11" fillId="0" borderId="0" xfId="250" applyFont="1" applyFill="1"/>
    <xf numFmtId="0" fontId="14" fillId="0" borderId="0" xfId="250" applyFont="1" applyFill="1" applyAlignment="1">
      <alignment horizontal="left"/>
    </xf>
    <xf numFmtId="3" fontId="11" fillId="0" borderId="0" xfId="0" applyNumberFormat="1" applyFont="1" applyFill="1"/>
    <xf numFmtId="0" fontId="4" fillId="0" borderId="0" xfId="250" applyFont="1" applyFill="1" applyAlignment="1">
      <alignment horizontal="right"/>
    </xf>
    <xf numFmtId="40" fontId="11" fillId="0" borderId="0" xfId="0" applyNumberFormat="1" applyFont="1" applyFill="1"/>
    <xf numFmtId="0" fontId="11" fillId="0" borderId="0" xfId="250" applyFont="1"/>
    <xf numFmtId="0" fontId="4" fillId="0" borderId="0" xfId="250" applyFont="1" applyFill="1"/>
    <xf numFmtId="0" fontId="8" fillId="0" borderId="0" xfId="250" applyFont="1" applyFill="1" applyBorder="1" applyAlignment="1">
      <alignment horizontal="left"/>
    </xf>
    <xf numFmtId="0" fontId="11" fillId="0" borderId="0" xfId="250" applyFont="1" applyAlignment="1">
      <alignment horizontal="left"/>
    </xf>
    <xf numFmtId="0" fontId="5" fillId="0" borderId="0" xfId="25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0" applyNumberFormat="1" applyFont="1" applyFill="1" applyBorder="1"/>
    <xf numFmtId="0" fontId="27" fillId="0" borderId="0" xfId="250" applyFont="1" applyFill="1" applyAlignment="1">
      <alignment horizontal="left"/>
    </xf>
    <xf numFmtId="0" fontId="25" fillId="0" borderId="0" xfId="250" applyFont="1" applyFill="1"/>
    <xf numFmtId="41" fontId="25" fillId="0" borderId="0" xfId="250" applyNumberFormat="1" applyFont="1" applyFill="1"/>
    <xf numFmtId="41" fontId="25" fillId="0" borderId="0" xfId="250" applyNumberFormat="1" applyFont="1" applyFill="1" applyBorder="1" applyAlignment="1">
      <alignment vertical="top"/>
    </xf>
    <xf numFmtId="181" fontId="25" fillId="0" borderId="0" xfId="250" applyNumberFormat="1" applyFont="1" applyFill="1"/>
    <xf numFmtId="41" fontId="25" fillId="0" borderId="0" xfId="250" applyNumberFormat="1" applyFont="1" applyFill="1" applyBorder="1"/>
    <xf numFmtId="0" fontId="25" fillId="0" borderId="0" xfId="250" applyFont="1" applyFill="1" applyAlignment="1">
      <alignment horizontal="left"/>
    </xf>
    <xf numFmtId="0" fontId="28" fillId="0" borderId="0" xfId="250" applyFont="1" applyFill="1" applyBorder="1"/>
    <xf numFmtId="0" fontId="25" fillId="0" borderId="0" xfId="250" applyFont="1" applyFill="1" applyAlignment="1">
      <alignment horizontal="center"/>
    </xf>
    <xf numFmtId="0" fontId="9" fillId="0" borderId="0" xfId="250" applyFont="1" applyFill="1" applyAlignment="1">
      <alignment horizontal="center"/>
    </xf>
    <xf numFmtId="173" fontId="25" fillId="0" borderId="0" xfId="250" applyNumberFormat="1" applyFont="1" applyFill="1"/>
    <xf numFmtId="173" fontId="25" fillId="0" borderId="0" xfId="250" applyNumberFormat="1" applyFont="1" applyFill="1" applyBorder="1" applyAlignment="1">
      <alignment vertical="top"/>
    </xf>
    <xf numFmtId="41" fontId="25" fillId="0" borderId="13" xfId="250" applyNumberFormat="1" applyFont="1" applyFill="1" applyBorder="1"/>
    <xf numFmtId="173" fontId="5" fillId="0" borderId="0" xfId="86" applyNumberFormat="1" applyFont="1" applyFill="1" applyAlignment="1">
      <alignment horizontal="center"/>
    </xf>
    <xf numFmtId="0" fontId="4" fillId="0" borderId="0" xfId="250" applyFont="1" applyFill="1" applyAlignment="1">
      <alignment horizontal="center"/>
    </xf>
    <xf numFmtId="0" fontId="29" fillId="0" borderId="0" xfId="250" applyFont="1" applyFill="1" applyBorder="1"/>
    <xf numFmtId="0" fontId="9" fillId="0" borderId="0" xfId="250" applyFont="1" applyAlignment="1">
      <alignment horizontal="center"/>
    </xf>
    <xf numFmtId="41" fontId="4" fillId="0" borderId="13" xfId="250" applyNumberFormat="1" applyFont="1" applyFill="1" applyBorder="1"/>
    <xf numFmtId="38" fontId="11" fillId="0" borderId="0" xfId="0" applyNumberFormat="1" applyFont="1" applyFill="1" applyBorder="1" applyAlignment="1"/>
    <xf numFmtId="40" fontId="25" fillId="0" borderId="0" xfId="250" applyNumberFormat="1" applyFont="1" applyFill="1"/>
    <xf numFmtId="3" fontId="11" fillId="0" borderId="0" xfId="0" applyNumberFormat="1" applyFont="1"/>
    <xf numFmtId="40" fontId="11" fillId="0" borderId="0" xfId="0" applyNumberFormat="1" applyFont="1"/>
    <xf numFmtId="43" fontId="4" fillId="0" borderId="0" xfId="250" applyNumberFormat="1" applyFont="1" applyFill="1"/>
    <xf numFmtId="3" fontId="4" fillId="0" borderId="0" xfId="0" applyNumberFormat="1" applyFont="1" applyFill="1" applyAlignment="1"/>
    <xf numFmtId="41" fontId="26" fillId="25" borderId="0" xfId="250" applyNumberFormat="1" applyFont="1" applyFill="1" applyBorder="1"/>
    <xf numFmtId="0" fontId="31" fillId="0" borderId="0" xfId="0" applyFont="1" applyFill="1"/>
    <xf numFmtId="0" fontId="18" fillId="0" borderId="0" xfId="250" applyFont="1" applyFill="1"/>
    <xf numFmtId="0" fontId="11" fillId="0" borderId="0" xfId="250" applyFont="1" applyAlignment="1">
      <alignment horizontal="center"/>
    </xf>
    <xf numFmtId="0" fontId="4" fillId="0" borderId="0" xfId="208" applyFont="1" applyBorder="1" applyAlignment="1">
      <alignment horizontal="center"/>
    </xf>
    <xf numFmtId="49" fontId="4" fillId="0" borderId="0" xfId="25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8" applyFont="1"/>
    <xf numFmtId="185" fontId="17" fillId="0" borderId="0" xfId="258" applyNumberFormat="1" applyFont="1" applyAlignment="1">
      <alignment horizontal="center"/>
    </xf>
    <xf numFmtId="0" fontId="11" fillId="0" borderId="0" xfId="258" applyFont="1"/>
    <xf numFmtId="0" fontId="17" fillId="0" borderId="0" xfId="258" applyFont="1"/>
    <xf numFmtId="0" fontId="17" fillId="0" borderId="0" xfId="258" applyNumberFormat="1" applyFont="1" applyAlignment="1">
      <alignment horizontal="center"/>
    </xf>
    <xf numFmtId="0" fontId="17" fillId="0" borderId="0" xfId="258" applyNumberFormat="1" applyFont="1"/>
    <xf numFmtId="0" fontId="17" fillId="0" borderId="0" xfId="258" applyNumberFormat="1" applyFont="1" applyBorder="1" applyAlignment="1">
      <alignment horizontal="center"/>
    </xf>
    <xf numFmtId="0" fontId="72" fillId="0" borderId="0" xfId="258" applyFont="1"/>
    <xf numFmtId="0" fontId="73" fillId="0" borderId="0" xfId="258" applyFont="1"/>
    <xf numFmtId="185" fontId="11" fillId="0" borderId="0" xfId="258" applyNumberFormat="1" applyFont="1"/>
    <xf numFmtId="0" fontId="74" fillId="0" borderId="0" xfId="255" applyFont="1" applyFill="1" applyAlignment="1">
      <alignment horizontal="center"/>
    </xf>
    <xf numFmtId="0" fontId="74" fillId="0" borderId="0" xfId="255" applyFont="1" applyFill="1" applyAlignment="1">
      <alignment horizontal="left" indent="2"/>
    </xf>
    <xf numFmtId="39" fontId="74" fillId="0" borderId="0" xfId="255" applyNumberFormat="1" applyFont="1" applyFill="1"/>
    <xf numFmtId="0" fontId="70" fillId="0" borderId="0" xfId="258" applyFont="1" applyFill="1"/>
    <xf numFmtId="0" fontId="11" fillId="0" borderId="0" xfId="258" applyNumberFormat="1" applyFont="1" applyAlignment="1">
      <alignment horizontal="center"/>
    </xf>
    <xf numFmtId="0" fontId="11" fillId="0" borderId="0" xfId="25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0" applyFont="1" applyFill="1" applyBorder="1" applyAlignment="1">
      <alignment horizontal="left"/>
    </xf>
    <xf numFmtId="0" fontId="3" fillId="0" borderId="0" xfId="0" applyFont="1" applyAlignment="1">
      <alignment horizontal="center"/>
    </xf>
    <xf numFmtId="0" fontId="3" fillId="0" borderId="0" xfId="208" applyFont="1" applyBorder="1" applyAlignment="1">
      <alignment horizontal="center"/>
    </xf>
    <xf numFmtId="0" fontId="11" fillId="0" borderId="0" xfId="258" applyNumberFormat="1" applyFont="1" applyFill="1"/>
    <xf numFmtId="173" fontId="70" fillId="0" borderId="0" xfId="25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0" applyFont="1"/>
    <xf numFmtId="0" fontId="1" fillId="0" borderId="0" xfId="250" applyAlignment="1">
      <alignment horizontal="left"/>
    </xf>
    <xf numFmtId="0" fontId="1" fillId="0" borderId="0" xfId="250"/>
    <xf numFmtId="0" fontId="14" fillId="0" borderId="0" xfId="250" applyFont="1" applyAlignment="1">
      <alignment horizontal="left"/>
    </xf>
    <xf numFmtId="0" fontId="13" fillId="0" borderId="0" xfId="250" applyFont="1" applyFill="1"/>
    <xf numFmtId="0" fontId="82" fillId="0" borderId="0" xfId="250" applyFont="1" applyFill="1"/>
    <xf numFmtId="9" fontId="9" fillId="0" borderId="0" xfId="250" quotePrefix="1" applyNumberFormat="1" applyFont="1" applyFill="1" applyAlignment="1">
      <alignment horizontal="center"/>
    </xf>
    <xf numFmtId="0" fontId="3" fillId="0" borderId="0" xfId="258" applyNumberFormat="1" applyFont="1" applyAlignment="1">
      <alignment horizontal="center"/>
    </xf>
    <xf numFmtId="0" fontId="3" fillId="0" borderId="0" xfId="258" applyNumberFormat="1" applyFont="1"/>
    <xf numFmtId="185" fontId="3" fillId="0" borderId="0" xfId="258" applyNumberFormat="1" applyFont="1" applyAlignment="1">
      <alignment horizontal="center"/>
    </xf>
    <xf numFmtId="0" fontId="3" fillId="0" borderId="11" xfId="258" applyNumberFormat="1" applyFont="1" applyBorder="1" applyAlignment="1">
      <alignment horizontal="center"/>
    </xf>
    <xf numFmtId="185" fontId="3" fillId="0" borderId="11" xfId="258" applyNumberFormat="1" applyFont="1" applyBorder="1" applyAlignment="1">
      <alignment horizontal="center"/>
    </xf>
    <xf numFmtId="174" fontId="0" fillId="0" borderId="0" xfId="116"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9" applyNumberFormat="1" applyFont="1"/>
    <xf numFmtId="173" fontId="88" fillId="0" borderId="0" xfId="258" applyNumberFormat="1" applyFont="1" applyFill="1" applyBorder="1"/>
    <xf numFmtId="0" fontId="22" fillId="0" borderId="0" xfId="250" applyFont="1" applyFill="1" applyAlignment="1">
      <alignment horizontal="center"/>
    </xf>
    <xf numFmtId="0" fontId="91" fillId="0" borderId="0" xfId="250" applyFont="1" applyFill="1" applyBorder="1"/>
    <xf numFmtId="0" fontId="31" fillId="0" borderId="0" xfId="0" applyFont="1"/>
    <xf numFmtId="173" fontId="0" fillId="0" borderId="14" xfId="0" applyNumberFormat="1" applyBorder="1"/>
    <xf numFmtId="9" fontId="0" fillId="0" borderId="0" xfId="269" applyFont="1"/>
    <xf numFmtId="0" fontId="93" fillId="0" borderId="0" xfId="0" applyFont="1" applyAlignment="1">
      <alignment horizontal="center" wrapText="1"/>
    </xf>
    <xf numFmtId="0" fontId="17" fillId="0" borderId="0" xfId="255" applyFont="1" applyFill="1" applyAlignment="1">
      <alignment horizontal="center"/>
    </xf>
    <xf numFmtId="190" fontId="97" fillId="0" borderId="0" xfId="208"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0" applyFont="1" applyFill="1" applyBorder="1" applyAlignment="1">
      <alignment horizontal="center"/>
    </xf>
    <xf numFmtId="0" fontId="4" fillId="0" borderId="0" xfId="0" applyFont="1" applyBorder="1" applyAlignment="1">
      <alignment horizontal="center"/>
    </xf>
    <xf numFmtId="0" fontId="3" fillId="0" borderId="0" xfId="258" applyNumberFormat="1" applyFont="1" applyBorder="1" applyAlignment="1">
      <alignment horizontal="center"/>
    </xf>
    <xf numFmtId="0" fontId="11" fillId="0" borderId="0" xfId="258" applyFont="1" applyBorder="1"/>
    <xf numFmtId="0" fontId="3" fillId="0" borderId="11" xfId="258" applyNumberFormat="1" applyFont="1" applyBorder="1"/>
    <xf numFmtId="185" fontId="3" fillId="0" borderId="0" xfId="258" applyNumberFormat="1" applyFont="1" applyBorder="1" applyAlignment="1">
      <alignment horizontal="center"/>
    </xf>
    <xf numFmtId="0" fontId="11" fillId="0" borderId="0" xfId="258" applyFont="1" applyFill="1"/>
    <xf numFmtId="173" fontId="77" fillId="0" borderId="0" xfId="258" applyNumberFormat="1" applyFont="1" applyFill="1" applyBorder="1"/>
    <xf numFmtId="0" fontId="70" fillId="0" borderId="0" xfId="258" applyFont="1" applyAlignment="1">
      <alignment horizontal="center"/>
    </xf>
    <xf numFmtId="0" fontId="17" fillId="0" borderId="0" xfId="258" applyFont="1" applyFill="1"/>
    <xf numFmtId="3" fontId="77" fillId="0" borderId="0" xfId="258" applyNumberFormat="1" applyFont="1" applyFill="1" applyBorder="1"/>
    <xf numFmtId="173" fontId="77" fillId="0" borderId="0" xfId="258" applyNumberFormat="1" applyFont="1" applyFill="1"/>
    <xf numFmtId="173" fontId="70" fillId="0" borderId="0" xfId="258" applyNumberFormat="1" applyFont="1" applyFill="1" applyBorder="1"/>
    <xf numFmtId="0" fontId="70" fillId="0" borderId="0" xfId="258" applyFont="1" applyFill="1" applyBorder="1"/>
    <xf numFmtId="38" fontId="21" fillId="0" borderId="0" xfId="0" applyNumberFormat="1" applyFont="1" applyBorder="1"/>
    <xf numFmtId="176" fontId="2" fillId="0" borderId="15" xfId="260" applyNumberFormat="1" applyBorder="1" applyProtection="1"/>
    <xf numFmtId="176" fontId="2" fillId="0" borderId="0" xfId="260" applyNumberFormat="1" applyBorder="1" applyProtection="1"/>
    <xf numFmtId="49" fontId="4" fillId="0" borderId="0" xfId="86" applyNumberFormat="1" applyFont="1" applyAlignment="1">
      <alignment horizontal="center"/>
    </xf>
    <xf numFmtId="0" fontId="98" fillId="0" borderId="0" xfId="258" applyFont="1" applyFill="1" applyBorder="1"/>
    <xf numFmtId="0" fontId="118" fillId="0" borderId="0" xfId="258" applyFont="1"/>
    <xf numFmtId="0" fontId="31" fillId="0" borderId="0" xfId="250" applyFont="1" applyFill="1" applyBorder="1"/>
    <xf numFmtId="0" fontId="106" fillId="0" borderId="0" xfId="250" applyFont="1" applyFill="1" applyAlignment="1">
      <alignment horizontal="center"/>
    </xf>
    <xf numFmtId="0" fontId="11" fillId="0" borderId="0" xfId="250" applyFont="1" applyFill="1" applyBorder="1"/>
    <xf numFmtId="0" fontId="93" fillId="0" borderId="0" xfId="0" applyFont="1" applyAlignment="1">
      <alignment horizontal="center"/>
    </xf>
    <xf numFmtId="10" fontId="2" fillId="0" borderId="0" xfId="260" applyNumberFormat="1" applyFill="1" applyProtection="1"/>
    <xf numFmtId="41" fontId="18" fillId="30" borderId="6" xfId="257" applyNumberFormat="1" applyFont="1" applyFill="1" applyBorder="1" applyAlignment="1" applyProtection="1">
      <protection locked="0"/>
    </xf>
    <xf numFmtId="3" fontId="18" fillId="30" borderId="0" xfId="257" applyNumberFormat="1" applyFont="1" applyFill="1" applyAlignment="1" applyProtection="1">
      <protection locked="0"/>
    </xf>
    <xf numFmtId="41" fontId="4" fillId="30" borderId="0" xfId="25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7" applyNumberFormat="1" applyFont="1" applyFill="1" applyProtection="1">
      <protection locked="0"/>
    </xf>
    <xf numFmtId="41" fontId="18" fillId="30" borderId="0" xfId="257" applyNumberFormat="1" applyFont="1" applyFill="1" applyAlignment="1" applyProtection="1">
      <alignment vertical="center"/>
      <protection locked="0"/>
    </xf>
    <xf numFmtId="0" fontId="5" fillId="0" borderId="0" xfId="0" applyFont="1"/>
    <xf numFmtId="10" fontId="18" fillId="31" borderId="0" xfId="269" applyNumberFormat="1" applyFont="1" applyFill="1" applyAlignment="1" applyProtection="1">
      <protection locked="0"/>
    </xf>
    <xf numFmtId="173" fontId="77" fillId="32" borderId="0" xfId="258" applyNumberFormat="1" applyFont="1" applyFill="1"/>
    <xf numFmtId="172" fontId="2" fillId="0" borderId="0" xfId="257" applyFont="1" applyAlignment="1" applyProtection="1"/>
    <xf numFmtId="172" fontId="4" fillId="0" borderId="0" xfId="257" applyFont="1" applyAlignment="1" applyProtection="1"/>
    <xf numFmtId="0" fontId="0" fillId="0" borderId="0" xfId="0" applyBorder="1" applyProtection="1"/>
    <xf numFmtId="0" fontId="5" fillId="0" borderId="0" xfId="257" applyNumberFormat="1" applyFont="1" applyBorder="1" applyAlignment="1" applyProtection="1">
      <alignment horizontal="left"/>
    </xf>
    <xf numFmtId="14" fontId="5" fillId="0" borderId="0" xfId="257" applyNumberFormat="1" applyFont="1" applyBorder="1" applyAlignment="1" applyProtection="1"/>
    <xf numFmtId="172" fontId="5" fillId="0" borderId="0" xfId="257" applyFont="1" applyFill="1" applyAlignment="1" applyProtection="1"/>
    <xf numFmtId="172" fontId="4" fillId="0" borderId="0" xfId="257" applyFont="1" applyFill="1" applyAlignment="1" applyProtection="1"/>
    <xf numFmtId="0" fontId="18" fillId="32" borderId="0" xfId="86" applyNumberFormat="1" applyFont="1" applyFill="1" applyAlignment="1" applyProtection="1"/>
    <xf numFmtId="0" fontId="4" fillId="0" borderId="0" xfId="25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7" applyNumberFormat="1" applyFont="1" applyProtection="1"/>
    <xf numFmtId="0" fontId="4" fillId="0" borderId="0" xfId="257" applyNumberFormat="1" applyFont="1" applyAlignment="1" applyProtection="1">
      <alignment horizontal="right"/>
    </xf>
    <xf numFmtId="0" fontId="18" fillId="0" borderId="0" xfId="86" applyNumberFormat="1" applyFont="1" applyFill="1" applyAlignment="1" applyProtection="1"/>
    <xf numFmtId="3" fontId="4" fillId="0" borderId="0" xfId="257" applyNumberFormat="1" applyFont="1" applyAlignment="1" applyProtection="1"/>
    <xf numFmtId="3" fontId="4" fillId="0" borderId="0" xfId="0" applyNumberFormat="1" applyFont="1" applyAlignment="1" applyProtection="1">
      <alignment horizontal="center"/>
    </xf>
    <xf numFmtId="0" fontId="2" fillId="0" borderId="0" xfId="257" applyNumberFormat="1" applyFont="1" applyAlignment="1" applyProtection="1">
      <alignment horizontal="center"/>
    </xf>
    <xf numFmtId="0" fontId="4" fillId="0" borderId="0" xfId="257" applyNumberFormat="1" applyFont="1" applyAlignment="1" applyProtection="1">
      <alignment horizontal="center"/>
    </xf>
    <xf numFmtId="49" fontId="4" fillId="0" borderId="0" xfId="25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7" applyNumberFormat="1" applyFont="1" applyProtection="1"/>
    <xf numFmtId="39" fontId="4" fillId="0" borderId="0" xfId="86" applyNumberFormat="1" applyFont="1" applyAlignment="1" applyProtection="1">
      <alignment horizontal="center"/>
    </xf>
    <xf numFmtId="0" fontId="2" fillId="0" borderId="6" xfId="257" applyNumberFormat="1" applyFont="1" applyBorder="1" applyAlignment="1" applyProtection="1">
      <alignment horizontal="center"/>
    </xf>
    <xf numFmtId="0" fontId="4" fillId="0" borderId="0" xfId="257" applyNumberFormat="1" applyFont="1" applyBorder="1" applyAlignment="1" applyProtection="1">
      <alignment horizontal="center"/>
    </xf>
    <xf numFmtId="0" fontId="4" fillId="0" borderId="6" xfId="257" applyNumberFormat="1" applyFont="1" applyBorder="1" applyAlignment="1" applyProtection="1">
      <alignment horizontal="center"/>
    </xf>
    <xf numFmtId="0" fontId="4" fillId="0" borderId="0" xfId="0" applyNumberFormat="1" applyFont="1" applyProtection="1"/>
    <xf numFmtId="0" fontId="4" fillId="0" borderId="0" xfId="257" applyNumberFormat="1" applyFont="1" applyFill="1" applyProtection="1"/>
    <xf numFmtId="3" fontId="4" fillId="0" borderId="0" xfId="257" applyNumberFormat="1" applyFont="1" applyProtection="1"/>
    <xf numFmtId="0" fontId="4" fillId="0" borderId="0" xfId="257" applyNumberFormat="1" applyFont="1" applyAlignment="1" applyProtection="1">
      <alignment horizontal="left"/>
    </xf>
    <xf numFmtId="170" fontId="4" fillId="0" borderId="0" xfId="257" applyNumberFormat="1" applyFont="1" applyProtection="1"/>
    <xf numFmtId="3" fontId="4" fillId="0" borderId="0" xfId="257" applyNumberFormat="1" applyFont="1" applyFill="1" applyAlignment="1" applyProtection="1">
      <alignment horizontal="left"/>
    </xf>
    <xf numFmtId="3" fontId="4" fillId="0" borderId="0" xfId="257" applyNumberFormat="1" applyFont="1" applyFill="1" applyAlignment="1" applyProtection="1"/>
    <xf numFmtId="0" fontId="4" fillId="0" borderId="6" xfId="257" applyNumberFormat="1" applyFont="1" applyBorder="1" applyAlignment="1" applyProtection="1">
      <alignment horizontal="centerContinuous"/>
    </xf>
    <xf numFmtId="0" fontId="4" fillId="0" borderId="0" xfId="0" applyNumberFormat="1" applyFont="1" applyAlignment="1" applyProtection="1"/>
    <xf numFmtId="41" fontId="4" fillId="0" borderId="0" xfId="257" applyNumberFormat="1" applyFont="1" applyFill="1" applyBorder="1" applyAlignment="1" applyProtection="1"/>
    <xf numFmtId="3" fontId="4" fillId="0" borderId="0" xfId="257" applyNumberFormat="1" applyFont="1" applyFill="1" applyAlignment="1" applyProtection="1">
      <alignment horizontal="center"/>
    </xf>
    <xf numFmtId="165" fontId="4" fillId="0" borderId="0" xfId="257" applyNumberFormat="1" applyFont="1" applyFill="1" applyAlignment="1" applyProtection="1">
      <alignment horizontal="right"/>
    </xf>
    <xf numFmtId="42" fontId="4" fillId="0" borderId="0" xfId="257" applyNumberFormat="1" applyFont="1" applyBorder="1" applyAlignment="1" applyProtection="1"/>
    <xf numFmtId="0" fontId="2" fillId="0" borderId="0" xfId="257" applyNumberFormat="1" applyFont="1" applyFill="1" applyAlignment="1" applyProtection="1">
      <alignment horizontal="center"/>
    </xf>
    <xf numFmtId="0" fontId="4" fillId="0" borderId="0" xfId="25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7" applyNumberFormat="1" applyFont="1" applyAlignment="1" applyProtection="1">
      <alignment horizontal="left"/>
    </xf>
    <xf numFmtId="3" fontId="4" fillId="0" borderId="0" xfId="257" applyNumberFormat="1" applyFont="1" applyAlignment="1" applyProtection="1">
      <alignment horizontal="center"/>
    </xf>
    <xf numFmtId="174" fontId="4" fillId="0" borderId="14" xfId="257" applyNumberFormat="1" applyFont="1" applyBorder="1" applyAlignment="1" applyProtection="1"/>
    <xf numFmtId="42" fontId="4" fillId="0" borderId="0" xfId="257" applyNumberFormat="1" applyFont="1" applyAlignment="1" applyProtection="1"/>
    <xf numFmtId="172" fontId="76" fillId="0" borderId="0" xfId="257" applyFont="1" applyAlignment="1" applyProtection="1">
      <alignment horizontal="center" wrapText="1"/>
    </xf>
    <xf numFmtId="0" fontId="4" fillId="0" borderId="0" xfId="0" applyNumberFormat="1" applyFont="1" applyFill="1" applyAlignment="1" applyProtection="1"/>
    <xf numFmtId="42" fontId="4" fillId="0" borderId="0" xfId="257" applyNumberFormat="1" applyFont="1" applyFill="1" applyAlignment="1" applyProtection="1"/>
    <xf numFmtId="41" fontId="4" fillId="0" borderId="0" xfId="257" applyNumberFormat="1" applyFont="1" applyFill="1" applyAlignment="1" applyProtection="1"/>
    <xf numFmtId="43" fontId="4" fillId="0" borderId="0" xfId="86" applyFont="1" applyProtection="1"/>
    <xf numFmtId="0" fontId="4" fillId="0" borderId="0" xfId="257" applyNumberFormat="1" applyFont="1" applyFill="1" applyAlignment="1" applyProtection="1"/>
    <xf numFmtId="171" fontId="4" fillId="0" borderId="0" xfId="257" applyNumberFormat="1" applyFont="1" applyProtection="1"/>
    <xf numFmtId="10" fontId="4" fillId="0" borderId="0" xfId="257" applyNumberFormat="1" applyFont="1" applyAlignment="1" applyProtection="1"/>
    <xf numFmtId="10" fontId="4" fillId="0" borderId="0" xfId="257" applyNumberFormat="1" applyFont="1" applyProtection="1"/>
    <xf numFmtId="0" fontId="31" fillId="0" borderId="0" xfId="0" applyFont="1" applyProtection="1"/>
    <xf numFmtId="10" fontId="4" fillId="0" borderId="0" xfId="269" applyNumberFormat="1" applyFont="1" applyFill="1" applyAlignment="1" applyProtection="1"/>
    <xf numFmtId="186" fontId="4" fillId="0" borderId="0" xfId="257" applyNumberFormat="1" applyFont="1" applyProtection="1"/>
    <xf numFmtId="0" fontId="4" fillId="0" borderId="0" xfId="0" applyNumberFormat="1" applyFont="1" applyFill="1" applyProtection="1"/>
    <xf numFmtId="41" fontId="4" fillId="0" borderId="0" xfId="257" applyNumberFormat="1" applyFont="1" applyAlignment="1" applyProtection="1">
      <alignment horizontal="center"/>
    </xf>
    <xf numFmtId="41" fontId="4" fillId="0" borderId="14" xfId="257" applyNumberFormat="1" applyFont="1" applyBorder="1" applyAlignment="1" applyProtection="1">
      <alignment horizontal="center"/>
    </xf>
    <xf numFmtId="41" fontId="4" fillId="0" borderId="0" xfId="257" applyNumberFormat="1" applyFont="1" applyAlignment="1" applyProtection="1">
      <alignment horizontal="right"/>
    </xf>
    <xf numFmtId="42" fontId="4" fillId="0" borderId="0" xfId="269" applyNumberFormat="1" applyFont="1" applyAlignment="1" applyProtection="1"/>
    <xf numFmtId="43" fontId="4" fillId="0" borderId="0" xfId="257" applyNumberFormat="1" applyFont="1" applyAlignment="1" applyProtection="1">
      <alignment horizontal="right"/>
    </xf>
    <xf numFmtId="43" fontId="4" fillId="0" borderId="0" xfId="86" applyFont="1" applyAlignment="1" applyProtection="1"/>
    <xf numFmtId="172" fontId="4" fillId="0" borderId="0" xfId="257" applyFont="1" applyAlignment="1" applyProtection="1">
      <alignment horizontal="right"/>
    </xf>
    <xf numFmtId="0" fontId="31" fillId="0" borderId="0" xfId="0" applyFont="1" applyAlignment="1" applyProtection="1">
      <alignment horizontal="center"/>
    </xf>
    <xf numFmtId="49" fontId="4" fillId="0" borderId="0" xfId="257" applyNumberFormat="1" applyFont="1" applyAlignment="1" applyProtection="1">
      <alignment horizontal="left"/>
    </xf>
    <xf numFmtId="0" fontId="2" fillId="0" borderId="0" xfId="257" applyNumberFormat="1" applyFont="1" applyAlignment="1" applyProtection="1">
      <alignment horizontal="center" vertical="center"/>
    </xf>
    <xf numFmtId="3" fontId="5" fillId="0" borderId="0" xfId="257" applyNumberFormat="1" applyFont="1" applyAlignment="1" applyProtection="1">
      <alignment horizontal="center"/>
    </xf>
    <xf numFmtId="172" fontId="5" fillId="0" borderId="0" xfId="257" applyFont="1" applyAlignment="1" applyProtection="1">
      <alignment horizontal="center"/>
    </xf>
    <xf numFmtId="49" fontId="5" fillId="0" borderId="0" xfId="257" applyNumberFormat="1" applyFont="1" applyAlignment="1" applyProtection="1">
      <alignment horizontal="center"/>
    </xf>
    <xf numFmtId="0" fontId="9" fillId="0" borderId="0" xfId="257" applyNumberFormat="1" applyFont="1" applyAlignment="1" applyProtection="1">
      <alignment horizontal="center"/>
    </xf>
    <xf numFmtId="172" fontId="9" fillId="0" borderId="0" xfId="257" applyFont="1" applyBorder="1" applyAlignment="1" applyProtection="1">
      <alignment horizontal="center"/>
    </xf>
    <xf numFmtId="3" fontId="5" fillId="0" borderId="0" xfId="257" applyNumberFormat="1" applyFont="1" applyAlignment="1" applyProtection="1"/>
    <xf numFmtId="0" fontId="2" fillId="0" borderId="0" xfId="257" applyNumberFormat="1" applyFont="1" applyBorder="1" applyAlignment="1" applyProtection="1">
      <alignment horizontal="center"/>
    </xf>
    <xf numFmtId="3" fontId="13" fillId="0" borderId="0" xfId="257" applyNumberFormat="1" applyFont="1" applyAlignment="1" applyProtection="1">
      <alignment horizontal="center"/>
    </xf>
    <xf numFmtId="3" fontId="4" fillId="0" borderId="0" xfId="257" applyNumberFormat="1" applyFont="1" applyFill="1" applyBorder="1" applyAlignment="1" applyProtection="1">
      <alignment horizontal="center"/>
    </xf>
    <xf numFmtId="0" fontId="27" fillId="0" borderId="0" xfId="257" applyNumberFormat="1" applyFont="1" applyBorder="1" applyAlignment="1" applyProtection="1"/>
    <xf numFmtId="0" fontId="4" fillId="0" borderId="0" xfId="257" applyNumberFormat="1" applyFont="1" applyAlignment="1" applyProtection="1">
      <alignment horizontal="center" vertical="center"/>
    </xf>
    <xf numFmtId="0" fontId="4" fillId="0" borderId="0" xfId="257" applyNumberFormat="1" applyFont="1" applyBorder="1" applyAlignment="1" applyProtection="1">
      <alignment vertical="center"/>
    </xf>
    <xf numFmtId="3" fontId="4" fillId="0" borderId="0" xfId="257" applyNumberFormat="1" applyFont="1" applyFill="1" applyAlignment="1" applyProtection="1">
      <alignment vertical="center" wrapText="1"/>
    </xf>
    <xf numFmtId="3" fontId="4" fillId="0" borderId="0" xfId="257" applyNumberFormat="1" applyFont="1" applyFill="1" applyAlignment="1" applyProtection="1">
      <alignment horizontal="center" vertical="center"/>
    </xf>
    <xf numFmtId="3" fontId="4" fillId="0" borderId="0" xfId="257" applyNumberFormat="1" applyFont="1" applyFill="1" applyAlignment="1" applyProtection="1">
      <alignment vertical="center"/>
    </xf>
    <xf numFmtId="41" fontId="4" fillId="0" borderId="0" xfId="257" applyNumberFormat="1" applyFont="1" applyFill="1" applyAlignment="1" applyProtection="1">
      <alignment vertical="center"/>
    </xf>
    <xf numFmtId="3" fontId="4" fillId="0" borderId="0" xfId="257" applyNumberFormat="1" applyFont="1" applyAlignment="1" applyProtection="1">
      <alignment vertical="center"/>
    </xf>
    <xf numFmtId="0" fontId="4" fillId="0" borderId="0" xfId="257" applyNumberFormat="1" applyFont="1" applyFill="1" applyBorder="1" applyAlignment="1" applyProtection="1"/>
    <xf numFmtId="0" fontId="4" fillId="0" borderId="0" xfId="257" applyNumberFormat="1" applyFont="1" applyBorder="1" applyAlignment="1" applyProtection="1"/>
    <xf numFmtId="41" fontId="4" fillId="0" borderId="6" xfId="257" applyNumberFormat="1" applyFont="1" applyFill="1" applyBorder="1" applyAlignment="1" applyProtection="1"/>
    <xf numFmtId="0" fontId="31" fillId="0" borderId="0" xfId="0" applyFont="1" applyAlignment="1" applyProtection="1"/>
    <xf numFmtId="172" fontId="5" fillId="0" borderId="0" xfId="257" applyFont="1" applyFill="1" applyAlignment="1" applyProtection="1">
      <alignment horizontal="right"/>
    </xf>
    <xf numFmtId="178" fontId="5" fillId="0" borderId="0" xfId="257" applyNumberFormat="1" applyFont="1" applyFill="1" applyAlignment="1" applyProtection="1">
      <alignment horizontal="right"/>
    </xf>
    <xf numFmtId="166" fontId="5" fillId="0" borderId="0" xfId="257" applyNumberFormat="1" applyFont="1" applyFill="1" applyAlignment="1" applyProtection="1">
      <alignment horizontal="right"/>
    </xf>
    <xf numFmtId="178" fontId="4" fillId="0" borderId="0" xfId="257" applyNumberFormat="1" applyFont="1" applyAlignment="1" applyProtection="1"/>
    <xf numFmtId="184" fontId="4" fillId="0" borderId="0" xfId="257" applyNumberFormat="1" applyFont="1" applyFill="1" applyAlignment="1" applyProtection="1"/>
    <xf numFmtId="183" fontId="4" fillId="0" borderId="0" xfId="257" applyNumberFormat="1" applyFont="1" applyFill="1" applyAlignment="1" applyProtection="1"/>
    <xf numFmtId="3" fontId="5" fillId="0" borderId="0" xfId="257" applyNumberFormat="1" applyFont="1" applyFill="1" applyAlignment="1" applyProtection="1">
      <alignment horizontal="right" vertical="center"/>
    </xf>
    <xf numFmtId="165" fontId="4" fillId="0" borderId="0" xfId="257" applyNumberFormat="1" applyFont="1" applyFill="1" applyAlignment="1" applyProtection="1"/>
    <xf numFmtId="0" fontId="4" fillId="0" borderId="0" xfId="25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7" applyNumberFormat="1" applyFont="1" applyFill="1" applyAlignment="1" applyProtection="1">
      <alignment horizontal="center"/>
    </xf>
    <xf numFmtId="0" fontId="2" fillId="32" borderId="0" xfId="257" applyNumberFormat="1" applyFont="1" applyFill="1" applyAlignment="1" applyProtection="1">
      <alignment horizontal="center"/>
    </xf>
    <xf numFmtId="41" fontId="4" fillId="0" borderId="0" xfId="257" applyNumberFormat="1" applyFont="1" applyAlignment="1" applyProtection="1"/>
    <xf numFmtId="165" fontId="4" fillId="0" borderId="0" xfId="257" applyNumberFormat="1" applyFont="1" applyAlignment="1" applyProtection="1"/>
    <xf numFmtId="3" fontId="5" fillId="0" borderId="0" xfId="257" applyNumberFormat="1" applyFont="1" applyFill="1" applyAlignment="1" applyProtection="1">
      <alignment horizontal="right"/>
    </xf>
    <xf numFmtId="182" fontId="4" fillId="0" borderId="0" xfId="86" applyNumberFormat="1" applyFont="1" applyFill="1" applyAlignment="1" applyProtection="1"/>
    <xf numFmtId="172" fontId="4" fillId="0" borderId="0" xfId="257" applyFont="1" applyBorder="1" applyAlignment="1" applyProtection="1"/>
    <xf numFmtId="164" fontId="4" fillId="0" borderId="0" xfId="257" applyNumberFormat="1" applyFont="1" applyFill="1" applyAlignment="1" applyProtection="1">
      <alignment horizontal="left"/>
    </xf>
    <xf numFmtId="0" fontId="31" fillId="0" borderId="0" xfId="0" applyFont="1" applyFill="1" applyProtection="1"/>
    <xf numFmtId="175" fontId="4" fillId="0" borderId="0" xfId="257" applyNumberFormat="1" applyFont="1" applyAlignment="1" applyProtection="1"/>
    <xf numFmtId="41" fontId="4" fillId="0" borderId="0" xfId="257" applyNumberFormat="1" applyFont="1" applyAlignment="1" applyProtection="1">
      <alignment horizontal="center" vertical="center"/>
    </xf>
    <xf numFmtId="41" fontId="4" fillId="0" borderId="6" xfId="257" applyNumberFormat="1" applyFont="1" applyBorder="1" applyAlignment="1" applyProtection="1"/>
    <xf numFmtId="41" fontId="4" fillId="0" borderId="16" xfId="257" applyNumberFormat="1" applyFont="1" applyBorder="1" applyAlignment="1" applyProtection="1"/>
    <xf numFmtId="164" fontId="4" fillId="0" borderId="0" xfId="257" applyNumberFormat="1" applyFont="1" applyAlignment="1" applyProtection="1">
      <alignment horizontal="center"/>
    </xf>
    <xf numFmtId="0" fontId="84" fillId="0" borderId="0" xfId="257" applyNumberFormat="1" applyFont="1" applyAlignment="1" applyProtection="1">
      <alignment horizontal="center"/>
    </xf>
    <xf numFmtId="3" fontId="4" fillId="0" borderId="0" xfId="257" applyNumberFormat="1" applyFont="1" applyAlignment="1" applyProtection="1">
      <alignment horizontal="right"/>
    </xf>
    <xf numFmtId="172" fontId="4" fillId="0" borderId="0" xfId="257" applyFont="1" applyAlignment="1" applyProtection="1">
      <alignment horizontal="center"/>
    </xf>
    <xf numFmtId="172" fontId="4" fillId="0" borderId="0" xfId="257" applyFont="1" applyFill="1" applyAlignment="1" applyProtection="1">
      <alignment horizontal="center"/>
    </xf>
    <xf numFmtId="0" fontId="0" fillId="0" borderId="0" xfId="0" applyAlignment="1" applyProtection="1">
      <alignment horizontal="center"/>
    </xf>
    <xf numFmtId="0" fontId="5" fillId="0" borderId="0" xfId="257" applyNumberFormat="1" applyFont="1" applyAlignment="1" applyProtection="1">
      <alignment horizontal="center"/>
    </xf>
    <xf numFmtId="172" fontId="5" fillId="0" borderId="0" xfId="257" applyFont="1" applyAlignment="1" applyProtection="1"/>
    <xf numFmtId="3" fontId="9" fillId="0" borderId="0" xfId="257" applyNumberFormat="1" applyFont="1" applyAlignment="1" applyProtection="1">
      <alignment horizontal="center"/>
    </xf>
    <xf numFmtId="3" fontId="5" fillId="0" borderId="0" xfId="257" applyNumberFormat="1" applyFont="1" applyFill="1" applyAlignment="1" applyProtection="1"/>
    <xf numFmtId="3" fontId="9" fillId="0" borderId="0" xfId="257" applyNumberFormat="1" applyFont="1" applyFill="1" applyAlignment="1" applyProtection="1"/>
    <xf numFmtId="3" fontId="9" fillId="0" borderId="0" xfId="257" applyNumberFormat="1" applyFont="1" applyAlignment="1" applyProtection="1"/>
    <xf numFmtId="41" fontId="148" fillId="32" borderId="0" xfId="25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7" applyNumberFormat="1" applyFont="1" applyFill="1" applyAlignment="1" applyProtection="1">
      <alignment horizontal="center"/>
    </xf>
    <xf numFmtId="3" fontId="92" fillId="0" borderId="0" xfId="257" applyNumberFormat="1" applyFont="1" applyFill="1" applyAlignment="1" applyProtection="1">
      <alignment horizontal="right"/>
    </xf>
    <xf numFmtId="41" fontId="4" fillId="0" borderId="0" xfId="257" applyNumberFormat="1" applyFont="1" applyBorder="1" applyAlignment="1" applyProtection="1"/>
    <xf numFmtId="3" fontId="4" fillId="0" borderId="0" xfId="257" applyNumberFormat="1" applyFont="1" applyAlignment="1" applyProtection="1">
      <alignment vertical="center" wrapText="1"/>
    </xf>
    <xf numFmtId="41" fontId="92" fillId="0" borderId="0" xfId="257" applyNumberFormat="1" applyFont="1" applyFill="1" applyAlignment="1" applyProtection="1">
      <alignment horizontal="right"/>
    </xf>
    <xf numFmtId="3" fontId="4" fillId="0" borderId="0" xfId="257" applyNumberFormat="1" applyFont="1" applyAlignment="1" applyProtection="1">
      <alignment horizontal="center" vertical="center"/>
    </xf>
    <xf numFmtId="41" fontId="4" fillId="0" borderId="0" xfId="257" applyNumberFormat="1" applyFont="1" applyAlignment="1" applyProtection="1">
      <alignment vertical="center"/>
    </xf>
    <xf numFmtId="3" fontId="4" fillId="0" borderId="0" xfId="257" applyNumberFormat="1" applyFont="1" applyAlignment="1" applyProtection="1">
      <alignment horizontal="left" wrapText="1"/>
    </xf>
    <xf numFmtId="0" fontId="11" fillId="0" borderId="0" xfId="0" applyFont="1" applyAlignment="1" applyProtection="1">
      <alignment horizontal="left" wrapText="1"/>
    </xf>
    <xf numFmtId="3" fontId="4" fillId="0" borderId="0" xfId="257" applyNumberFormat="1" applyFont="1" applyFill="1" applyAlignment="1" applyProtection="1">
      <alignment horizontal="right"/>
    </xf>
    <xf numFmtId="43" fontId="4" fillId="0" borderId="0" xfId="269" applyNumberFormat="1" applyFont="1" applyFill="1" applyAlignment="1" applyProtection="1"/>
    <xf numFmtId="166" fontId="4" fillId="0" borderId="0" xfId="257" applyNumberFormat="1" applyFont="1" applyAlignment="1" applyProtection="1"/>
    <xf numFmtId="182" fontId="4" fillId="0" borderId="0" xfId="86" applyNumberFormat="1" applyFont="1" applyAlignment="1" applyProtection="1"/>
    <xf numFmtId="167" fontId="4" fillId="0" borderId="0" xfId="257" applyNumberFormat="1" applyFont="1" applyAlignment="1" applyProtection="1"/>
    <xf numFmtId="172" fontId="22" fillId="0" borderId="0" xfId="257" applyFont="1" applyAlignment="1" applyProtection="1"/>
    <xf numFmtId="164" fontId="4" fillId="0" borderId="0" xfId="257" applyNumberFormat="1" applyFont="1" applyBorder="1" applyAlignment="1" applyProtection="1">
      <alignment horizontal="left"/>
    </xf>
    <xf numFmtId="168" fontId="4" fillId="0" borderId="0" xfId="257" applyNumberFormat="1" applyFont="1" applyAlignment="1" applyProtection="1"/>
    <xf numFmtId="10" fontId="4" fillId="0" borderId="0" xfId="257" applyNumberFormat="1" applyFont="1" applyFill="1" applyAlignment="1" applyProtection="1">
      <alignment horizontal="right"/>
    </xf>
    <xf numFmtId="10" fontId="31" fillId="0" borderId="0" xfId="269" applyNumberFormat="1" applyFont="1" applyProtection="1"/>
    <xf numFmtId="3" fontId="22" fillId="0" borderId="0" xfId="257" applyNumberFormat="1" applyFont="1" applyAlignment="1" applyProtection="1"/>
    <xf numFmtId="167" fontId="4" fillId="0" borderId="0" xfId="257" applyNumberFormat="1" applyFont="1" applyFill="1" applyAlignment="1" applyProtection="1"/>
    <xf numFmtId="166" fontId="4" fillId="0" borderId="0" xfId="257" applyNumberFormat="1" applyFont="1" applyAlignment="1" applyProtection="1">
      <alignment horizontal="center"/>
    </xf>
    <xf numFmtId="188" fontId="22" fillId="0" borderId="0" xfId="257" applyNumberFormat="1" applyFont="1" applyAlignment="1" applyProtection="1">
      <alignment horizontal="center"/>
    </xf>
    <xf numFmtId="189" fontId="4" fillId="0" borderId="0" xfId="257" applyNumberFormat="1" applyFont="1" applyAlignment="1" applyProtection="1"/>
    <xf numFmtId="164" fontId="4" fillId="0" borderId="0" xfId="257" applyNumberFormat="1" applyFont="1" applyFill="1" applyBorder="1" applyAlignment="1" applyProtection="1">
      <alignment horizontal="left"/>
    </xf>
    <xf numFmtId="179" fontId="4" fillId="0" borderId="0" xfId="25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7" applyNumberFormat="1" applyFont="1" applyAlignment="1" applyProtection="1"/>
    <xf numFmtId="43" fontId="22" fillId="0" borderId="0" xfId="86" applyFont="1" applyAlignment="1" applyProtection="1"/>
    <xf numFmtId="10" fontId="4" fillId="0" borderId="0" xfId="257" applyNumberFormat="1" applyFont="1" applyFill="1" applyAlignment="1" applyProtection="1">
      <alignment horizontal="left"/>
    </xf>
    <xf numFmtId="168" fontId="4" fillId="0" borderId="0" xfId="257" applyNumberFormat="1" applyFont="1" applyFill="1" applyAlignment="1" applyProtection="1">
      <alignment horizontal="left"/>
    </xf>
    <xf numFmtId="0" fontId="11" fillId="0" borderId="0" xfId="0" applyFont="1" applyProtection="1"/>
    <xf numFmtId="41" fontId="4" fillId="0" borderId="0" xfId="257" applyNumberFormat="1" applyFont="1" applyFill="1" applyAlignment="1" applyProtection="1">
      <alignment horizontal="right"/>
    </xf>
    <xf numFmtId="179" fontId="4" fillId="0" borderId="0" xfId="257" applyNumberFormat="1" applyFont="1" applyAlignment="1" applyProtection="1"/>
    <xf numFmtId="173" fontId="4" fillId="0" borderId="0" xfId="257" applyNumberFormat="1" applyFont="1" applyAlignment="1" applyProtection="1"/>
    <xf numFmtId="164" fontId="4" fillId="0" borderId="0" xfId="257" applyNumberFormat="1" applyFont="1" applyFill="1" applyBorder="1" applyAlignment="1" applyProtection="1">
      <alignment horizontal="left" vertical="center"/>
    </xf>
    <xf numFmtId="41" fontId="4" fillId="0" borderId="0" xfId="257" applyNumberFormat="1" applyFont="1" applyFill="1" applyAlignment="1" applyProtection="1">
      <alignment horizontal="center" vertical="center"/>
    </xf>
    <xf numFmtId="180" fontId="4" fillId="0" borderId="0" xfId="257" applyNumberFormat="1" applyFont="1" applyAlignment="1" applyProtection="1"/>
    <xf numFmtId="173" fontId="4" fillId="0" borderId="14" xfId="86" applyNumberFormat="1" applyFont="1" applyBorder="1" applyAlignment="1" applyProtection="1"/>
    <xf numFmtId="0" fontId="4" fillId="0" borderId="0" xfId="257" applyNumberFormat="1" applyFont="1" applyFill="1" applyBorder="1" applyAlignment="1" applyProtection="1">
      <alignment horizontal="left"/>
    </xf>
    <xf numFmtId="0" fontId="5" fillId="0" borderId="0" xfId="257" applyNumberFormat="1" applyFont="1" applyAlignment="1" applyProtection="1"/>
    <xf numFmtId="0" fontId="4" fillId="0" borderId="0" xfId="0" applyFont="1" applyFill="1" applyAlignment="1" applyProtection="1">
      <alignment horizontal="left"/>
    </xf>
    <xf numFmtId="0" fontId="4" fillId="0" borderId="0" xfId="257" applyNumberFormat="1" applyFont="1" applyFill="1" applyBorder="1" applyProtection="1"/>
    <xf numFmtId="3" fontId="4" fillId="0" borderId="0" xfId="257" applyNumberFormat="1" applyFont="1" applyFill="1" applyBorder="1" applyAlignment="1" applyProtection="1"/>
    <xf numFmtId="172" fontId="4" fillId="0" borderId="0" xfId="257" applyFont="1" applyFill="1" applyBorder="1" applyAlignment="1" applyProtection="1"/>
    <xf numFmtId="172" fontId="4" fillId="0" borderId="0" xfId="257" applyFont="1" applyFill="1" applyBorder="1" applyAlignment="1" applyProtection="1">
      <alignment horizontal="center"/>
    </xf>
    <xf numFmtId="3" fontId="4" fillId="0" borderId="0" xfId="257" applyNumberFormat="1" applyFont="1" applyFill="1" applyBorder="1" applyAlignment="1" applyProtection="1">
      <alignment horizontal="left"/>
    </xf>
    <xf numFmtId="0" fontId="4" fillId="0" borderId="0" xfId="257" applyNumberFormat="1" applyFont="1" applyFill="1" applyBorder="1" applyAlignment="1" applyProtection="1">
      <alignment horizontal="center"/>
    </xf>
    <xf numFmtId="49" fontId="4" fillId="0" borderId="0" xfId="257" applyNumberFormat="1" applyFont="1" applyFill="1" applyBorder="1" applyProtection="1"/>
    <xf numFmtId="49" fontId="4" fillId="0" borderId="0" xfId="257" applyNumberFormat="1" applyFont="1" applyFill="1" applyBorder="1" applyAlignment="1" applyProtection="1"/>
    <xf numFmtId="49" fontId="4" fillId="0" borderId="0" xfId="257" applyNumberFormat="1" applyFont="1" applyFill="1" applyBorder="1" applyAlignment="1" applyProtection="1">
      <alignment horizontal="center"/>
    </xf>
    <xf numFmtId="3" fontId="5" fillId="0" borderId="0" xfId="257" applyNumberFormat="1" applyFont="1" applyFill="1" applyBorder="1" applyAlignment="1" applyProtection="1">
      <alignment horizontal="right"/>
    </xf>
    <xf numFmtId="165" fontId="5" fillId="0" borderId="0" xfId="257" applyNumberFormat="1" applyFont="1" applyFill="1" applyBorder="1" applyAlignment="1" applyProtection="1">
      <alignment horizontal="right"/>
    </xf>
    <xf numFmtId="0" fontId="5" fillId="0" borderId="0" xfId="257" applyNumberFormat="1" applyFont="1" applyFill="1" applyAlignment="1" applyProtection="1"/>
    <xf numFmtId="3" fontId="4" fillId="0" borderId="0" xfId="257" applyNumberFormat="1" applyFont="1" applyFill="1" applyProtection="1"/>
    <xf numFmtId="3" fontId="4" fillId="0" borderId="0" xfId="25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7" applyNumberFormat="1" applyFont="1" applyAlignment="1" applyProtection="1"/>
    <xf numFmtId="172" fontId="5" fillId="0" borderId="0" xfId="257" applyFont="1" applyAlignment="1" applyProtection="1">
      <alignment horizontal="right"/>
    </xf>
    <xf numFmtId="165" fontId="5" fillId="0" borderId="0" xfId="257" applyNumberFormat="1" applyFont="1" applyAlignment="1" applyProtection="1"/>
    <xf numFmtId="0" fontId="9" fillId="0" borderId="0" xfId="257" applyNumberFormat="1" applyFont="1" applyFill="1" applyBorder="1" applyAlignment="1" applyProtection="1"/>
    <xf numFmtId="3" fontId="4" fillId="0" borderId="6" xfId="257" applyNumberFormat="1" applyFont="1" applyFill="1" applyBorder="1" applyAlignment="1" applyProtection="1">
      <alignment horizontal="center"/>
    </xf>
    <xf numFmtId="41" fontId="5" fillId="0" borderId="0" xfId="257" applyNumberFormat="1" applyFont="1" applyFill="1" applyAlignment="1" applyProtection="1"/>
    <xf numFmtId="0" fontId="13" fillId="0" borderId="0" xfId="257" applyNumberFormat="1" applyFont="1" applyFill="1" applyBorder="1" applyAlignment="1" applyProtection="1">
      <alignment horizontal="left"/>
    </xf>
    <xf numFmtId="3" fontId="4" fillId="32" borderId="0" xfId="257" applyNumberFormat="1" applyFont="1" applyFill="1" applyAlignment="1" applyProtection="1"/>
    <xf numFmtId="0" fontId="11" fillId="0" borderId="0" xfId="0" applyFont="1" applyFill="1" applyProtection="1"/>
    <xf numFmtId="0" fontId="4" fillId="0" borderId="0" xfId="257" applyNumberFormat="1" applyFont="1" applyFill="1" applyAlignment="1" applyProtection="1">
      <alignment horizontal="left"/>
    </xf>
    <xf numFmtId="0" fontId="4" fillId="0" borderId="6" xfId="25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7" applyNumberFormat="1" applyFont="1" applyFill="1" applyAlignment="1" applyProtection="1"/>
    <xf numFmtId="169" fontId="4" fillId="0" borderId="17" xfId="257" applyNumberFormat="1" applyFont="1" applyFill="1" applyBorder="1" applyAlignment="1" applyProtection="1"/>
    <xf numFmtId="169" fontId="4" fillId="0" borderId="0" xfId="257" applyNumberFormat="1" applyFont="1" applyFill="1" applyBorder="1" applyAlignment="1" applyProtection="1"/>
    <xf numFmtId="10" fontId="4" fillId="0" borderId="6" xfId="257" applyNumberFormat="1" applyFont="1" applyFill="1" applyBorder="1" applyAlignment="1" applyProtection="1"/>
    <xf numFmtId="169" fontId="4" fillId="0" borderId="6" xfId="257" applyNumberFormat="1" applyFont="1" applyFill="1" applyBorder="1" applyAlignment="1" applyProtection="1"/>
    <xf numFmtId="182" fontId="11" fillId="0" borderId="0" xfId="86" applyNumberFormat="1" applyFont="1" applyFill="1" applyProtection="1"/>
    <xf numFmtId="169" fontId="5" fillId="0" borderId="0" xfId="257" applyNumberFormat="1" applyFont="1" applyFill="1" applyAlignment="1" applyProtection="1"/>
    <xf numFmtId="0" fontId="2" fillId="31" borderId="0" xfId="257" applyNumberFormat="1" applyFont="1" applyFill="1" applyAlignment="1" applyProtection="1">
      <alignment horizontal="center"/>
    </xf>
    <xf numFmtId="0" fontId="4" fillId="31" borderId="0" xfId="257" applyNumberFormat="1" applyFont="1" applyFill="1" applyAlignment="1" applyProtection="1">
      <alignment horizontal="center"/>
    </xf>
    <xf numFmtId="0" fontId="9" fillId="31" borderId="0" xfId="257" applyNumberFormat="1" applyFont="1" applyFill="1" applyBorder="1" applyAlignment="1" applyProtection="1"/>
    <xf numFmtId="0" fontId="4" fillId="31" borderId="0" xfId="257" applyNumberFormat="1" applyFont="1" applyFill="1" applyBorder="1" applyAlignment="1" applyProtection="1">
      <alignment horizontal="left"/>
    </xf>
    <xf numFmtId="3" fontId="4" fillId="31" borderId="0" xfId="257" applyNumberFormat="1" applyFont="1" applyFill="1" applyAlignment="1" applyProtection="1"/>
    <xf numFmtId="172" fontId="4" fillId="31" borderId="0" xfId="257" applyFont="1" applyFill="1" applyAlignment="1" applyProtection="1"/>
    <xf numFmtId="3" fontId="5" fillId="31" borderId="0" xfId="257" applyNumberFormat="1" applyFont="1" applyFill="1" applyAlignment="1" applyProtection="1"/>
    <xf numFmtId="166" fontId="5" fillId="31" borderId="0" xfId="257" applyNumberFormat="1" applyFont="1" applyFill="1" applyProtection="1"/>
    <xf numFmtId="0" fontId="4" fillId="31" borderId="0" xfId="257" applyNumberFormat="1" applyFont="1" applyFill="1" applyBorder="1" applyAlignment="1" applyProtection="1"/>
    <xf numFmtId="3" fontId="4" fillId="31" borderId="6" xfId="257" applyNumberFormat="1" applyFont="1" applyFill="1" applyBorder="1" applyAlignment="1" applyProtection="1">
      <alignment horizontal="center"/>
    </xf>
    <xf numFmtId="41" fontId="4" fillId="31" borderId="0" xfId="257" applyNumberFormat="1" applyFont="1" applyFill="1" applyAlignment="1" applyProtection="1"/>
    <xf numFmtId="0" fontId="13" fillId="31" borderId="0" xfId="257" applyNumberFormat="1" applyFont="1" applyFill="1" applyBorder="1" applyAlignment="1" applyProtection="1">
      <alignment horizontal="left"/>
    </xf>
    <xf numFmtId="0" fontId="0" fillId="31" borderId="0" xfId="0" applyFill="1" applyProtection="1"/>
    <xf numFmtId="0" fontId="4" fillId="31" borderId="0" xfId="257" applyNumberFormat="1" applyFont="1" applyFill="1" applyProtection="1"/>
    <xf numFmtId="0" fontId="31" fillId="31" borderId="0" xfId="0" applyFont="1" applyFill="1" applyProtection="1"/>
    <xf numFmtId="41" fontId="18" fillId="31" borderId="0" xfId="257" applyNumberFormat="1" applyFont="1" applyFill="1" applyAlignment="1" applyProtection="1"/>
    <xf numFmtId="10" fontId="4" fillId="31" borderId="0" xfId="269" applyNumberFormat="1" applyFont="1" applyFill="1" applyAlignment="1" applyProtection="1"/>
    <xf numFmtId="41" fontId="18" fillId="31" borderId="6" xfId="257" applyNumberFormat="1" applyFont="1" applyFill="1" applyBorder="1" applyAlignment="1" applyProtection="1"/>
    <xf numFmtId="0" fontId="4" fillId="31" borderId="0" xfId="257" applyNumberFormat="1" applyFont="1" applyFill="1" applyAlignment="1" applyProtection="1">
      <alignment horizontal="left"/>
    </xf>
    <xf numFmtId="3" fontId="22" fillId="31" borderId="0" xfId="257" applyNumberFormat="1" applyFont="1" applyFill="1" applyAlignment="1" applyProtection="1"/>
    <xf numFmtId="0" fontId="4" fillId="31" borderId="6" xfId="25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7" applyNumberFormat="1" applyFont="1" applyFill="1" applyAlignment="1" applyProtection="1"/>
    <xf numFmtId="169" fontId="22" fillId="31" borderId="0" xfId="257" applyNumberFormat="1" applyFont="1" applyFill="1" applyAlignment="1" applyProtection="1"/>
    <xf numFmtId="169" fontId="4" fillId="31" borderId="17" xfId="257" applyNumberFormat="1" applyFont="1" applyFill="1" applyBorder="1" applyAlignment="1" applyProtection="1"/>
    <xf numFmtId="3" fontId="4" fillId="0" borderId="0" xfId="257" quotePrefix="1" applyNumberFormat="1" applyFont="1" applyAlignment="1" applyProtection="1"/>
    <xf numFmtId="169" fontId="4" fillId="31" borderId="0" xfId="257" applyNumberFormat="1" applyFont="1" applyFill="1" applyBorder="1" applyAlignment="1" applyProtection="1"/>
    <xf numFmtId="10" fontId="4" fillId="31" borderId="0" xfId="257" applyNumberFormat="1" applyFont="1" applyFill="1" applyBorder="1" applyAlignment="1" applyProtection="1"/>
    <xf numFmtId="41" fontId="4" fillId="31" borderId="6" xfId="257" applyNumberFormat="1" applyFont="1" applyFill="1" applyBorder="1" applyAlignment="1" applyProtection="1"/>
    <xf numFmtId="169" fontId="4" fillId="31" borderId="6" xfId="257" applyNumberFormat="1" applyFont="1" applyFill="1" applyBorder="1" applyAlignment="1" applyProtection="1"/>
    <xf numFmtId="182" fontId="21" fillId="31" borderId="0" xfId="86" applyNumberFormat="1" applyFont="1" applyFill="1" applyProtection="1"/>
    <xf numFmtId="3" fontId="5" fillId="31" borderId="0" xfId="257" applyNumberFormat="1" applyFont="1" applyFill="1" applyAlignment="1" applyProtection="1">
      <alignment horizontal="right"/>
    </xf>
    <xf numFmtId="169" fontId="5" fillId="31" borderId="0" xfId="257" applyNumberFormat="1" applyFont="1" applyFill="1" applyAlignment="1" applyProtection="1"/>
    <xf numFmtId="3" fontId="5" fillId="0" borderId="0" xfId="25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7" applyNumberFormat="1" applyFont="1" applyAlignment="1" applyProtection="1"/>
    <xf numFmtId="172" fontId="4" fillId="0" borderId="0" xfId="257" applyFont="1" applyFill="1" applyAlignment="1" applyProtection="1">
      <alignment horizontal="right"/>
    </xf>
    <xf numFmtId="172" fontId="9" fillId="0" borderId="0" xfId="257" applyFont="1" applyAlignment="1" applyProtection="1">
      <alignment horizontal="center"/>
    </xf>
    <xf numFmtId="172" fontId="2" fillId="0" borderId="0" xfId="257" applyFont="1" applyFill="1" applyAlignment="1" applyProtection="1">
      <alignment horizontal="center"/>
    </xf>
    <xf numFmtId="172" fontId="2" fillId="0" borderId="0" xfId="257" applyFont="1" applyFill="1" applyAlignment="1" applyProtection="1"/>
    <xf numFmtId="10" fontId="4" fillId="0" borderId="0" xfId="25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7" applyNumberFormat="1" applyFont="1" applyFill="1" applyAlignment="1" applyProtection="1"/>
    <xf numFmtId="0" fontId="106" fillId="0" borderId="0" xfId="257" applyNumberFormat="1" applyFont="1" applyFill="1" applyAlignment="1" applyProtection="1"/>
    <xf numFmtId="0" fontId="25" fillId="0" borderId="0" xfId="257" applyNumberFormat="1" applyFont="1" applyFill="1" applyProtection="1"/>
    <xf numFmtId="172" fontId="25" fillId="0" borderId="0" xfId="257" applyFont="1" applyFill="1" applyAlignment="1" applyProtection="1"/>
    <xf numFmtId="0" fontId="25" fillId="0" borderId="0" xfId="0" applyFont="1" applyAlignment="1" applyProtection="1">
      <alignment vertical="top" wrapText="1"/>
    </xf>
    <xf numFmtId="172" fontId="25" fillId="0" borderId="0" xfId="257" applyFont="1" applyFill="1" applyAlignment="1" applyProtection="1">
      <alignment wrapText="1"/>
    </xf>
    <xf numFmtId="172" fontId="106" fillId="0" borderId="0" xfId="257" applyFont="1" applyFill="1" applyAlignment="1" applyProtection="1"/>
    <xf numFmtId="172" fontId="22" fillId="0" borderId="0" xfId="257" applyFont="1" applyFill="1" applyAlignment="1" applyProtection="1"/>
    <xf numFmtId="0" fontId="2" fillId="0" borderId="0" xfId="257" applyNumberFormat="1" applyFont="1" applyFill="1" applyProtection="1"/>
    <xf numFmtId="172" fontId="2" fillId="0" borderId="0" xfId="257" applyFont="1" applyFill="1" applyAlignment="1" applyProtection="1">
      <alignment horizontal="center" wrapText="1"/>
    </xf>
    <xf numFmtId="172" fontId="76" fillId="0" borderId="0" xfId="257" applyFont="1" applyFill="1" applyAlignment="1" applyProtection="1">
      <alignment horizontal="center" wrapText="1"/>
    </xf>
    <xf numFmtId="0" fontId="4" fillId="32" borderId="0" xfId="257" applyNumberFormat="1" applyFont="1" applyFill="1" applyAlignment="1" applyProtection="1">
      <alignment vertical="top" wrapText="1"/>
    </xf>
    <xf numFmtId="0" fontId="11" fillId="32" borderId="0" xfId="0" applyFont="1" applyFill="1" applyProtection="1"/>
    <xf numFmtId="0" fontId="92" fillId="0" borderId="0" xfId="257" applyNumberFormat="1" applyFont="1" applyFill="1" applyAlignment="1" applyProtection="1">
      <alignment horizontal="center"/>
    </xf>
    <xf numFmtId="172" fontId="22" fillId="0" borderId="0" xfId="257" applyFont="1" applyAlignment="1" applyProtection="1">
      <alignment wrapText="1"/>
    </xf>
    <xf numFmtId="173" fontId="18" fillId="0" borderId="0" xfId="86" applyNumberFormat="1" applyFont="1" applyFill="1" applyAlignment="1" applyProtection="1">
      <alignment horizontal="right"/>
    </xf>
    <xf numFmtId="10" fontId="18" fillId="30" borderId="0" xfId="26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8" applyFont="1" applyBorder="1" applyProtection="1"/>
    <xf numFmtId="0" fontId="4" fillId="0" borderId="0" xfId="208" applyFont="1" applyBorder="1" applyAlignment="1" applyProtection="1">
      <alignment horizontal="center"/>
    </xf>
    <xf numFmtId="0" fontId="11" fillId="0" borderId="0" xfId="208" applyFont="1" applyBorder="1" applyAlignment="1" applyProtection="1">
      <alignment horizontal="center"/>
    </xf>
    <xf numFmtId="0" fontId="16" fillId="0" borderId="0" xfId="250" applyFont="1" applyAlignment="1" applyProtection="1">
      <alignment horizontal="center"/>
    </xf>
    <xf numFmtId="0" fontId="11" fillId="0" borderId="0" xfId="0" applyFont="1" applyBorder="1" applyProtection="1"/>
    <xf numFmtId="0" fontId="11" fillId="0" borderId="0" xfId="208" applyFont="1" applyFill="1" applyBorder="1" applyProtection="1"/>
    <xf numFmtId="0" fontId="11" fillId="0" borderId="0" xfId="208" applyFont="1" applyFill="1" applyBorder="1" applyAlignment="1" applyProtection="1">
      <alignment horizontal="center" wrapText="1"/>
    </xf>
    <xf numFmtId="0" fontId="8" fillId="0" borderId="0" xfId="208" applyFont="1" applyFill="1" applyBorder="1" applyAlignment="1" applyProtection="1">
      <alignment horizontal="left"/>
    </xf>
    <xf numFmtId="0" fontId="11" fillId="0" borderId="0" xfId="208" applyFont="1" applyFill="1" applyBorder="1" applyAlignment="1" applyProtection="1"/>
    <xf numFmtId="0" fontId="11" fillId="0" borderId="0" xfId="208" applyNumberFormat="1" applyFont="1" applyFill="1" applyBorder="1" applyAlignment="1" applyProtection="1">
      <alignment horizontal="center"/>
    </xf>
    <xf numFmtId="3" fontId="11" fillId="0" borderId="0" xfId="208" applyNumberFormat="1" applyFont="1" applyFill="1" applyBorder="1" applyAlignment="1" applyProtection="1"/>
    <xf numFmtId="0" fontId="8" fillId="0" borderId="0" xfId="208"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8" applyNumberFormat="1" applyFont="1" applyFill="1" applyBorder="1" applyAlignment="1" applyProtection="1">
      <alignment horizontal="left"/>
    </xf>
    <xf numFmtId="0" fontId="11" fillId="0" borderId="0" xfId="208" applyFont="1" applyBorder="1" applyAlignment="1" applyProtection="1"/>
    <xf numFmtId="0" fontId="6" fillId="0" borderId="0" xfId="208"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0" applyNumberFormat="1" applyFont="1" applyAlignment="1" applyProtection="1">
      <alignment horizontal="center"/>
    </xf>
    <xf numFmtId="0" fontId="0" fillId="0" borderId="0" xfId="0" applyAlignment="1" applyProtection="1"/>
    <xf numFmtId="0" fontId="8" fillId="0" borderId="0" xfId="208" applyFont="1" applyBorder="1" applyAlignment="1" applyProtection="1">
      <alignment horizontal="center"/>
    </xf>
    <xf numFmtId="0" fontId="8" fillId="0" borderId="0" xfId="208" applyFont="1" applyFill="1" applyBorder="1" applyAlignment="1" applyProtection="1">
      <alignment horizontal="center"/>
    </xf>
    <xf numFmtId="0" fontId="8" fillId="0" borderId="0" xfId="208" applyFont="1" applyBorder="1" applyAlignment="1" applyProtection="1"/>
    <xf numFmtId="0" fontId="12" fillId="0" borderId="0" xfId="0" applyFont="1" applyBorder="1" applyProtection="1"/>
    <xf numFmtId="3" fontId="12" fillId="0" borderId="0" xfId="208" applyNumberFormat="1" applyFont="1" applyBorder="1" applyAlignment="1" applyProtection="1">
      <alignment horizontal="center"/>
    </xf>
    <xf numFmtId="0" fontId="8" fillId="0" borderId="0" xfId="208" applyNumberFormat="1" applyFont="1" applyFill="1" applyBorder="1" applyAlignment="1" applyProtection="1">
      <alignment horizontal="center"/>
    </xf>
    <xf numFmtId="0" fontId="16" fillId="0" borderId="0" xfId="208" applyFont="1" applyFill="1" applyBorder="1" applyAlignment="1" applyProtection="1">
      <alignment horizontal="center"/>
    </xf>
    <xf numFmtId="0" fontId="12" fillId="0" borderId="0" xfId="208"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8"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0" applyFont="1" applyProtection="1"/>
    <xf numFmtId="0" fontId="11" fillId="25" borderId="0" xfId="208" applyNumberFormat="1" applyFont="1" applyFill="1" applyBorder="1" applyAlignment="1" applyProtection="1">
      <alignment horizontal="center"/>
    </xf>
    <xf numFmtId="0" fontId="8" fillId="25" borderId="0" xfId="208" applyNumberFormat="1" applyFont="1" applyFill="1" applyBorder="1" applyAlignment="1" applyProtection="1">
      <alignment horizontal="left"/>
    </xf>
    <xf numFmtId="0" fontId="7" fillId="25" borderId="0" xfId="208" applyFont="1" applyFill="1" applyBorder="1" applyAlignment="1" applyProtection="1"/>
    <xf numFmtId="0" fontId="11" fillId="25" borderId="0" xfId="208" applyNumberFormat="1" applyFont="1" applyFill="1" applyBorder="1" applyAlignment="1" applyProtection="1">
      <alignment horizontal="left"/>
    </xf>
    <xf numFmtId="0" fontId="11" fillId="25" borderId="0" xfId="208"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8" applyNumberFormat="1" applyFont="1" applyFill="1" applyBorder="1" applyAlignment="1" applyProtection="1">
      <alignment horizontal="left"/>
    </xf>
    <xf numFmtId="0" fontId="11" fillId="0" borderId="0" xfId="250" applyFont="1" applyFill="1" applyProtection="1"/>
    <xf numFmtId="9" fontId="8" fillId="0" borderId="0" xfId="250" quotePrefix="1" applyNumberFormat="1" applyFont="1" applyFill="1" applyAlignment="1" applyProtection="1">
      <alignment horizontal="center"/>
    </xf>
    <xf numFmtId="0" fontId="8" fillId="0" borderId="0" xfId="250" applyFont="1" applyFill="1" applyAlignment="1" applyProtection="1">
      <alignment horizontal="center"/>
    </xf>
    <xf numFmtId="0" fontId="68" fillId="0" borderId="0" xfId="250" applyFont="1" applyFill="1" applyAlignment="1" applyProtection="1">
      <alignment horizontal="center"/>
    </xf>
    <xf numFmtId="0" fontId="16" fillId="0" borderId="0" xfId="250" applyFont="1" applyFill="1" applyAlignment="1" applyProtection="1">
      <alignment horizontal="center"/>
    </xf>
    <xf numFmtId="0" fontId="85" fillId="0" borderId="0" xfId="250" applyFont="1" applyFill="1" applyAlignment="1" applyProtection="1">
      <alignment horizontal="center"/>
    </xf>
    <xf numFmtId="38" fontId="11" fillId="0" borderId="0" xfId="208" applyNumberFormat="1" applyFont="1" applyFill="1" applyBorder="1" applyAlignment="1" applyProtection="1">
      <alignment horizontal="right"/>
    </xf>
    <xf numFmtId="37" fontId="11" fillId="0" borderId="0" xfId="208" applyNumberFormat="1" applyFont="1" applyFill="1" applyBorder="1" applyAlignment="1" applyProtection="1">
      <alignment horizontal="right"/>
    </xf>
    <xf numFmtId="0" fontId="11" fillId="0" borderId="0" xfId="208"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8" applyNumberFormat="1" applyFont="1" applyFill="1" applyBorder="1" applyAlignment="1" applyProtection="1"/>
    <xf numFmtId="37" fontId="7" fillId="0" borderId="0" xfId="208" applyNumberFormat="1" applyFont="1" applyFill="1" applyBorder="1" applyAlignment="1" applyProtection="1"/>
    <xf numFmtId="0" fontId="8" fillId="0" borderId="0" xfId="208" applyFont="1" applyBorder="1" applyProtection="1"/>
    <xf numFmtId="173" fontId="7" fillId="0" borderId="14" xfId="86" applyNumberFormat="1" applyFont="1" applyFill="1" applyBorder="1" applyAlignment="1" applyProtection="1"/>
    <xf numFmtId="0" fontId="11" fillId="0" borderId="14" xfId="208"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0" applyFill="1" applyAlignment="1" applyProtection="1">
      <alignment horizontal="left"/>
    </xf>
    <xf numFmtId="0" fontId="1" fillId="0" borderId="0" xfId="250" applyFill="1" applyProtection="1"/>
    <xf numFmtId="0" fontId="79" fillId="0" borderId="0" xfId="25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49" fillId="0" borderId="0" xfId="208" applyFont="1" applyBorder="1" applyProtection="1"/>
    <xf numFmtId="38" fontId="11" fillId="0" borderId="0" xfId="0" applyNumberFormat="1" applyFont="1" applyFill="1" applyBorder="1" applyProtection="1"/>
    <xf numFmtId="0" fontId="31" fillId="0" borderId="0" xfId="250" applyFont="1" applyFill="1" applyAlignment="1" applyProtection="1">
      <alignment horizontal="left"/>
    </xf>
    <xf numFmtId="0" fontId="31" fillId="0" borderId="0" xfId="250" applyFont="1" applyFill="1" applyProtection="1"/>
    <xf numFmtId="0" fontId="95" fillId="0" borderId="0" xfId="250" applyFont="1" applyFill="1" applyAlignment="1" applyProtection="1">
      <alignment horizontal="center"/>
    </xf>
    <xf numFmtId="0" fontId="96" fillId="0" borderId="0" xfId="25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2" applyFont="1" applyProtection="1"/>
    <xf numFmtId="0" fontId="2" fillId="0" borderId="0" xfId="262" applyFont="1" applyAlignment="1" applyProtection="1">
      <alignment horizontal="right"/>
    </xf>
    <xf numFmtId="0" fontId="9" fillId="0" borderId="0" xfId="262" applyFont="1" applyAlignment="1" applyProtection="1">
      <alignment horizontal="center"/>
    </xf>
    <xf numFmtId="0" fontId="25" fillId="0" borderId="0" xfId="0" applyFont="1" applyProtection="1"/>
    <xf numFmtId="0" fontId="4" fillId="0" borderId="0" xfId="262" applyFont="1" applyProtection="1"/>
    <xf numFmtId="0" fontId="81" fillId="0" borderId="0" xfId="262" applyFont="1" applyProtection="1"/>
    <xf numFmtId="0" fontId="25" fillId="0" borderId="0" xfId="0" applyFont="1" applyAlignment="1" applyProtection="1">
      <alignment horizontal="center"/>
    </xf>
    <xf numFmtId="0" fontId="9" fillId="0" borderId="0" xfId="262" applyFont="1" applyBorder="1" applyAlignment="1" applyProtection="1">
      <alignment horizontal="center"/>
    </xf>
    <xf numFmtId="0" fontId="2" fillId="0" borderId="0" xfId="0" applyFont="1" applyAlignment="1" applyProtection="1">
      <alignment horizontal="right"/>
    </xf>
    <xf numFmtId="0" fontId="5" fillId="0" borderId="0" xfId="262" applyFont="1" applyFill="1" applyProtection="1"/>
    <xf numFmtId="0" fontId="25" fillId="0" borderId="0" xfId="262" applyFont="1" applyAlignment="1" applyProtection="1">
      <alignment horizontal="center"/>
    </xf>
    <xf numFmtId="0" fontId="8" fillId="0" borderId="0" xfId="262" applyFont="1" applyFill="1" applyAlignment="1" applyProtection="1">
      <alignment horizontal="center"/>
    </xf>
    <xf numFmtId="0" fontId="8" fillId="0" borderId="0" xfId="262" applyFont="1" applyFill="1" applyProtection="1"/>
    <xf numFmtId="0" fontId="100" fillId="0" borderId="0" xfId="0" applyFont="1" applyProtection="1"/>
    <xf numFmtId="0" fontId="100" fillId="0" borderId="0" xfId="262" applyFont="1" applyProtection="1"/>
    <xf numFmtId="0" fontId="11" fillId="0" borderId="0" xfId="262" applyFont="1" applyProtection="1"/>
    <xf numFmtId="173" fontId="11" fillId="0" borderId="0" xfId="262" applyNumberFormat="1" applyFont="1" applyFill="1" applyProtection="1"/>
    <xf numFmtId="0" fontId="11" fillId="0" borderId="0" xfId="0" applyFont="1" applyAlignment="1" applyProtection="1">
      <alignment horizontal="center"/>
    </xf>
    <xf numFmtId="172" fontId="11" fillId="0" borderId="0" xfId="262" applyNumberFormat="1" applyFont="1" applyFill="1" applyAlignment="1" applyProtection="1">
      <alignment horizontal="center"/>
    </xf>
    <xf numFmtId="0" fontId="11" fillId="0" borderId="0" xfId="262" applyFont="1" applyFill="1" applyProtection="1"/>
    <xf numFmtId="0" fontId="8" fillId="0" borderId="0" xfId="262" applyFont="1" applyProtection="1"/>
    <xf numFmtId="43" fontId="11" fillId="0" borderId="0" xfId="113" applyFont="1" applyFill="1" applyProtection="1"/>
    <xf numFmtId="0" fontId="93" fillId="0" borderId="0" xfId="262" applyFont="1" applyProtection="1"/>
    <xf numFmtId="185" fontId="11" fillId="0" borderId="0" xfId="0" applyNumberFormat="1" applyFont="1" applyProtection="1"/>
    <xf numFmtId="173" fontId="11" fillId="0" borderId="0" xfId="262" applyNumberFormat="1" applyFont="1" applyProtection="1"/>
    <xf numFmtId="173" fontId="11" fillId="0" borderId="13" xfId="0" applyNumberFormat="1" applyFont="1" applyBorder="1" applyProtection="1"/>
    <xf numFmtId="173" fontId="11" fillId="0" borderId="0" xfId="262" applyNumberFormat="1" applyFont="1" applyBorder="1" applyProtection="1"/>
    <xf numFmtId="0" fontId="93" fillId="0" borderId="0" xfId="262" applyFont="1" applyFill="1" applyProtection="1"/>
    <xf numFmtId="173" fontId="11" fillId="0" borderId="13" xfId="262" applyNumberFormat="1" applyFont="1" applyBorder="1" applyProtection="1"/>
    <xf numFmtId="0" fontId="25" fillId="0" borderId="0" xfId="262" applyFont="1" applyProtection="1"/>
    <xf numFmtId="43" fontId="4" fillId="0" borderId="0" xfId="113" applyFont="1" applyFill="1" applyProtection="1"/>
    <xf numFmtId="173" fontId="4" fillId="0" borderId="0" xfId="262" applyNumberFormat="1" applyFont="1" applyProtection="1"/>
    <xf numFmtId="173" fontId="4" fillId="0" borderId="0" xfId="26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3" applyNumberFormat="1" applyFont="1" applyFill="1" applyProtection="1">
      <protection locked="0"/>
    </xf>
    <xf numFmtId="41" fontId="18" fillId="30" borderId="0" xfId="25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8" applyFont="1" applyProtection="1"/>
    <xf numFmtId="0" fontId="4" fillId="0" borderId="0" xfId="258" applyFont="1" applyProtection="1"/>
    <xf numFmtId="0" fontId="17" fillId="0" borderId="0" xfId="258" applyNumberFormat="1" applyFont="1" applyAlignment="1" applyProtection="1">
      <alignment horizontal="center"/>
    </xf>
    <xf numFmtId="0" fontId="17" fillId="0" borderId="0" xfId="258" applyNumberFormat="1" applyFont="1" applyProtection="1"/>
    <xf numFmtId="0" fontId="5" fillId="0" borderId="0" xfId="250" applyFont="1" applyFill="1" applyAlignment="1" applyProtection="1">
      <alignment horizontal="center"/>
    </xf>
    <xf numFmtId="0" fontId="11" fillId="0" borderId="0" xfId="258" applyNumberFormat="1" applyFont="1" applyProtection="1"/>
    <xf numFmtId="0" fontId="3" fillId="0" borderId="0" xfId="258" applyNumberFormat="1" applyFont="1" applyAlignment="1" applyProtection="1">
      <alignment horizontal="center"/>
    </xf>
    <xf numFmtId="0" fontId="3" fillId="0" borderId="0" xfId="258" applyNumberFormat="1" applyFont="1" applyProtection="1"/>
    <xf numFmtId="185" fontId="3" fillId="0" borderId="0" xfId="258" applyNumberFormat="1" applyFont="1" applyAlignment="1" applyProtection="1">
      <alignment horizontal="center"/>
    </xf>
    <xf numFmtId="0" fontId="73" fillId="0" borderId="0" xfId="258" applyFont="1" applyProtection="1"/>
    <xf numFmtId="0" fontId="8" fillId="0" borderId="0" xfId="258" applyFont="1" applyProtection="1"/>
    <xf numFmtId="0" fontId="3" fillId="0" borderId="11" xfId="258" applyNumberFormat="1" applyFont="1" applyBorder="1" applyAlignment="1" applyProtection="1">
      <alignment horizontal="center"/>
    </xf>
    <xf numFmtId="185" fontId="3" fillId="0" borderId="11" xfId="258" applyNumberFormat="1" applyFont="1" applyBorder="1" applyAlignment="1" applyProtection="1">
      <alignment horizontal="center"/>
    </xf>
    <xf numFmtId="0" fontId="73" fillId="0" borderId="11" xfId="258" applyFont="1" applyBorder="1" applyAlignment="1" applyProtection="1">
      <alignment horizontal="center"/>
    </xf>
    <xf numFmtId="0" fontId="8" fillId="0" borderId="0" xfId="258" applyFont="1" applyAlignment="1" applyProtection="1">
      <alignment horizontal="center"/>
    </xf>
    <xf numFmtId="0" fontId="17" fillId="0" borderId="0" xfId="258" applyNumberFormat="1" applyFont="1" applyBorder="1" applyAlignment="1" applyProtection="1">
      <alignment horizontal="center"/>
    </xf>
    <xf numFmtId="185" fontId="17" fillId="0" borderId="0" xfId="258" applyNumberFormat="1" applyFont="1" applyAlignment="1" applyProtection="1">
      <alignment horizontal="center"/>
    </xf>
    <xf numFmtId="0" fontId="70" fillId="0" borderId="0" xfId="258" applyFont="1" applyProtection="1"/>
    <xf numFmtId="185" fontId="71" fillId="0" borderId="0" xfId="258" applyNumberFormat="1" applyFont="1" applyProtection="1"/>
    <xf numFmtId="0" fontId="17" fillId="0" borderId="0" xfId="258" applyFont="1" applyProtection="1"/>
    <xf numFmtId="185" fontId="17" fillId="0" borderId="0" xfId="258" applyNumberFormat="1" applyFont="1" applyProtection="1"/>
    <xf numFmtId="0" fontId="72" fillId="0" borderId="0" xfId="258" applyFont="1" applyProtection="1"/>
    <xf numFmtId="173" fontId="70" fillId="0" borderId="0" xfId="258" applyNumberFormat="1" applyFont="1" applyBorder="1" applyProtection="1"/>
    <xf numFmtId="173" fontId="70" fillId="0" borderId="0" xfId="258" applyNumberFormat="1" applyFont="1" applyProtection="1"/>
    <xf numFmtId="173" fontId="70" fillId="0" borderId="0" xfId="258" applyNumberFormat="1" applyFont="1" applyFill="1" applyBorder="1" applyProtection="1"/>
    <xf numFmtId="0" fontId="70" fillId="0" borderId="0" xfId="258" applyFont="1" applyFill="1" applyBorder="1" applyProtection="1"/>
    <xf numFmtId="173" fontId="88" fillId="0" borderId="0" xfId="258" applyNumberFormat="1" applyFont="1" applyFill="1" applyBorder="1" applyProtection="1"/>
    <xf numFmtId="173" fontId="4" fillId="0" borderId="0" xfId="258" applyNumberFormat="1" applyFont="1" applyProtection="1"/>
    <xf numFmtId="173" fontId="75" fillId="0" borderId="0" xfId="258" applyNumberFormat="1" applyFont="1" applyProtection="1"/>
    <xf numFmtId="185" fontId="4" fillId="0" borderId="0" xfId="258" applyNumberFormat="1" applyFont="1" applyProtection="1"/>
    <xf numFmtId="173" fontId="75" fillId="0" borderId="0" xfId="86" applyNumberFormat="1" applyFont="1" applyProtection="1"/>
    <xf numFmtId="0" fontId="115" fillId="0" borderId="0" xfId="257" applyNumberFormat="1" applyFont="1" applyBorder="1" applyAlignment="1" applyProtection="1"/>
    <xf numFmtId="0" fontId="98" fillId="0" borderId="0" xfId="258" applyFont="1" applyFill="1" applyBorder="1" applyProtection="1"/>
    <xf numFmtId="0" fontId="98" fillId="0" borderId="0" xfId="258" applyFont="1" applyProtection="1"/>
    <xf numFmtId="173" fontId="116" fillId="0" borderId="0" xfId="258" applyNumberFormat="1" applyFont="1" applyProtection="1"/>
    <xf numFmtId="185" fontId="117" fillId="0" borderId="0" xfId="258" applyNumberFormat="1" applyFont="1" applyProtection="1"/>
    <xf numFmtId="173" fontId="116" fillId="0" borderId="0" xfId="86" applyNumberFormat="1" applyFont="1" applyProtection="1"/>
    <xf numFmtId="173" fontId="98" fillId="0" borderId="0" xfId="258" applyNumberFormat="1" applyFont="1" applyProtection="1"/>
    <xf numFmtId="0" fontId="70" fillId="0" borderId="0" xfId="258" applyFont="1" applyFill="1" applyProtection="1"/>
    <xf numFmtId="0" fontId="74" fillId="0" borderId="0" xfId="255" applyFont="1" applyFill="1" applyAlignment="1" applyProtection="1">
      <alignment horizontal="center"/>
    </xf>
    <xf numFmtId="0" fontId="74" fillId="0" borderId="0" xfId="255" applyFont="1" applyFill="1" applyAlignment="1" applyProtection="1">
      <alignment horizontal="left" indent="2"/>
    </xf>
    <xf numFmtId="39" fontId="74" fillId="0" borderId="0" xfId="255" applyNumberFormat="1" applyFont="1" applyFill="1" applyProtection="1"/>
    <xf numFmtId="173" fontId="70" fillId="0" borderId="0" xfId="25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5" applyFont="1" applyFill="1" applyAlignment="1" applyProtection="1">
      <alignment horizontal="center"/>
    </xf>
    <xf numFmtId="173" fontId="70" fillId="0" borderId="14" xfId="86" applyNumberFormat="1" applyFont="1" applyBorder="1" applyProtection="1"/>
    <xf numFmtId="0" fontId="73" fillId="0" borderId="0" xfId="258" applyFont="1" applyAlignment="1" applyProtection="1">
      <alignment horizontal="center" wrapText="1"/>
    </xf>
    <xf numFmtId="0" fontId="78" fillId="0" borderId="0" xfId="258" applyFont="1" applyAlignment="1" applyProtection="1">
      <alignment horizontal="center"/>
    </xf>
    <xf numFmtId="0" fontId="17" fillId="0" borderId="0" xfId="258" applyNumberFormat="1" applyFont="1" applyFill="1" applyAlignment="1" applyProtection="1">
      <alignment horizontal="center"/>
    </xf>
    <xf numFmtId="0" fontId="11" fillId="0" borderId="0" xfId="258" applyNumberFormat="1" applyFont="1" applyFill="1" applyProtection="1"/>
    <xf numFmtId="0" fontId="98" fillId="0" borderId="0" xfId="258" applyFont="1" applyFill="1" applyProtection="1"/>
    <xf numFmtId="41" fontId="98" fillId="0" borderId="0" xfId="258" applyNumberFormat="1" applyFont="1" applyFill="1" applyProtection="1"/>
    <xf numFmtId="41" fontId="98" fillId="0" borderId="0" xfId="258" applyNumberFormat="1" applyFont="1" applyFill="1" applyBorder="1" applyProtection="1"/>
    <xf numFmtId="41" fontId="70" fillId="0" borderId="0" xfId="258" applyNumberFormat="1" applyFont="1" applyFill="1" applyProtection="1"/>
    <xf numFmtId="10" fontId="70" fillId="0" borderId="0" xfId="269" applyNumberFormat="1" applyFont="1" applyFill="1" applyProtection="1"/>
    <xf numFmtId="41" fontId="70" fillId="0" borderId="0" xfId="258" applyNumberFormat="1" applyFont="1" applyFill="1" applyBorder="1" applyProtection="1"/>
    <xf numFmtId="164" fontId="70" fillId="0" borderId="0" xfId="269" applyNumberFormat="1" applyFont="1" applyFill="1" applyProtection="1"/>
    <xf numFmtId="187" fontId="11" fillId="0" borderId="0" xfId="269" applyNumberFormat="1" applyFont="1" applyFill="1" applyProtection="1"/>
    <xf numFmtId="41" fontId="83" fillId="28" borderId="0" xfId="258" applyNumberFormat="1" applyFont="1" applyFill="1" applyProtection="1"/>
    <xf numFmtId="41" fontId="83" fillId="28" borderId="0" xfId="258" applyNumberFormat="1" applyFont="1" applyFill="1" applyBorder="1" applyProtection="1"/>
    <xf numFmtId="10" fontId="70" fillId="0" borderId="11" xfId="269" applyNumberFormat="1" applyFont="1" applyFill="1" applyBorder="1" applyProtection="1"/>
    <xf numFmtId="173" fontId="70" fillId="0" borderId="0" xfId="86" applyNumberFormat="1" applyFont="1" applyFill="1" applyProtection="1"/>
    <xf numFmtId="10" fontId="70" fillId="0" borderId="0" xfId="269" applyNumberFormat="1" applyFont="1" applyFill="1" applyBorder="1" applyProtection="1"/>
    <xf numFmtId="173" fontId="70" fillId="0" borderId="0" xfId="86" applyNumberFormat="1" applyFont="1" applyFill="1" applyBorder="1" applyProtection="1"/>
    <xf numFmtId="0" fontId="11" fillId="0" borderId="0" xfId="258" applyNumberFormat="1" applyFont="1" applyAlignment="1" applyProtection="1">
      <alignment horizontal="center"/>
    </xf>
    <xf numFmtId="185" fontId="11" fillId="0" borderId="0" xfId="258" applyNumberFormat="1" applyFont="1" applyProtection="1"/>
    <xf numFmtId="173" fontId="11" fillId="0" borderId="0" xfId="258" applyNumberFormat="1" applyFont="1" applyProtection="1"/>
    <xf numFmtId="173" fontId="70" fillId="0" borderId="18" xfId="86" applyNumberFormat="1" applyFont="1" applyFill="1" applyBorder="1" applyProtection="1"/>
    <xf numFmtId="0" fontId="73" fillId="30" borderId="0" xfId="258" applyFont="1" applyFill="1" applyProtection="1">
      <protection locked="0"/>
    </xf>
    <xf numFmtId="0" fontId="98" fillId="30" borderId="0" xfId="258" applyFont="1" applyFill="1" applyProtection="1">
      <protection locked="0"/>
    </xf>
    <xf numFmtId="0" fontId="70" fillId="30" borderId="0" xfId="258" applyFont="1" applyFill="1" applyProtection="1">
      <protection locked="0"/>
    </xf>
    <xf numFmtId="10" fontId="77" fillId="30" borderId="11" xfId="269" applyNumberFormat="1" applyFont="1" applyFill="1" applyBorder="1" applyProtection="1">
      <protection locked="0"/>
    </xf>
    <xf numFmtId="173" fontId="77" fillId="30" borderId="0" xfId="25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7" applyNumberFormat="1" applyFont="1" applyBorder="1" applyAlignment="1" applyProtection="1"/>
    <xf numFmtId="3" fontId="11" fillId="0" borderId="0" xfId="257" applyNumberFormat="1" applyFont="1" applyAlignment="1" applyProtection="1"/>
    <xf numFmtId="10" fontId="1" fillId="0" borderId="0" xfId="269" applyNumberFormat="1" applyAlignment="1" applyProtection="1">
      <alignment horizontal="right"/>
    </xf>
    <xf numFmtId="172" fontId="11" fillId="0" borderId="0" xfId="257" applyFont="1" applyAlignment="1" applyProtection="1"/>
    <xf numFmtId="172" fontId="11" fillId="0" borderId="0" xfId="257" applyFont="1" applyBorder="1" applyAlignment="1" applyProtection="1"/>
    <xf numFmtId="3" fontId="11" fillId="0" borderId="0" xfId="257" applyNumberFormat="1" applyFont="1" applyFill="1" applyAlignment="1" applyProtection="1"/>
    <xf numFmtId="10" fontId="11" fillId="0" borderId="0" xfId="269" applyNumberFormat="1" applyFont="1" applyFill="1" applyAlignment="1" applyProtection="1">
      <alignment horizontal="right"/>
    </xf>
    <xf numFmtId="3" fontId="8" fillId="0" borderId="0" xfId="257" applyNumberFormat="1" applyFont="1" applyAlignment="1" applyProtection="1"/>
    <xf numFmtId="10" fontId="11" fillId="0" borderId="0" xfId="257" applyNumberFormat="1" applyFont="1" applyFill="1" applyAlignment="1" applyProtection="1">
      <alignment horizontal="right"/>
    </xf>
    <xf numFmtId="3" fontId="12" fillId="0" borderId="0" xfId="257" applyNumberFormat="1" applyFont="1" applyAlignment="1" applyProtection="1">
      <alignment horizontal="center"/>
    </xf>
    <xf numFmtId="10" fontId="12" fillId="0" borderId="0" xfId="257" applyNumberFormat="1" applyFont="1" applyFill="1" applyAlignment="1" applyProtection="1">
      <alignment horizontal="center"/>
    </xf>
    <xf numFmtId="0" fontId="11"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9" applyNumberFormat="1" applyFont="1" applyAlignment="1" applyProtection="1"/>
    <xf numFmtId="166" fontId="11" fillId="0" borderId="0" xfId="257" applyNumberFormat="1" applyFont="1" applyAlignment="1" applyProtection="1">
      <alignment horizontal="center"/>
    </xf>
    <xf numFmtId="166" fontId="11" fillId="0" borderId="0" xfId="257" applyNumberFormat="1" applyFont="1" applyBorder="1" applyAlignment="1" applyProtection="1">
      <alignment horizontal="center"/>
    </xf>
    <xf numFmtId="41" fontId="11" fillId="0" borderId="0" xfId="257" applyNumberFormat="1" applyFont="1" applyAlignment="1" applyProtection="1"/>
    <xf numFmtId="41" fontId="11" fillId="0" borderId="0" xfId="257" applyNumberFormat="1" applyFont="1" applyAlignment="1" applyProtection="1">
      <alignment horizontal="center"/>
    </xf>
    <xf numFmtId="41" fontId="11" fillId="0" borderId="0" xfId="257" applyNumberFormat="1" applyFont="1" applyBorder="1" applyAlignment="1" applyProtection="1">
      <alignment horizontal="center"/>
    </xf>
    <xf numFmtId="0" fontId="11" fillId="0" borderId="0" xfId="257" applyNumberFormat="1" applyFont="1" applyBorder="1" applyAlignment="1" applyProtection="1">
      <alignment horizontal="right"/>
    </xf>
    <xf numFmtId="164" fontId="12" fillId="0" borderId="0" xfId="269" applyNumberFormat="1" applyFont="1" applyAlignment="1" applyProtection="1"/>
    <xf numFmtId="3" fontId="11" fillId="0" borderId="0" xfId="257" applyNumberFormat="1" applyFont="1" applyAlignment="1" applyProtection="1">
      <alignment horizontal="right"/>
    </xf>
    <xf numFmtId="172" fontId="1" fillId="0" borderId="19" xfId="257" applyFont="1" applyBorder="1" applyAlignment="1" applyProtection="1"/>
    <xf numFmtId="0" fontId="1" fillId="0" borderId="0" xfId="257" applyNumberFormat="1" applyFont="1" applyBorder="1" applyAlignment="1" applyProtection="1">
      <alignment horizontal="center"/>
    </xf>
    <xf numFmtId="172" fontId="1" fillId="0" borderId="0" xfId="257" applyFont="1" applyBorder="1" applyAlignment="1" applyProtection="1"/>
    <xf numFmtId="3" fontId="1" fillId="0" borderId="20" xfId="257" applyNumberFormat="1" applyFont="1" applyBorder="1" applyAlignment="1" applyProtection="1"/>
    <xf numFmtId="10" fontId="11" fillId="0" borderId="0" xfId="257" applyNumberFormat="1" applyFont="1" applyFill="1" applyAlignment="1" applyProtection="1">
      <alignment horizontal="left"/>
    </xf>
    <xf numFmtId="41" fontId="11" fillId="0" borderId="0" xfId="25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7" applyNumberFormat="1" applyFont="1" applyFill="1" applyAlignment="1" applyProtection="1"/>
    <xf numFmtId="166" fontId="1" fillId="0" borderId="21" xfId="257" applyNumberFormat="1" applyFont="1" applyBorder="1" applyAlignment="1" applyProtection="1">
      <alignment horizontal="center"/>
    </xf>
    <xf numFmtId="0" fontId="1" fillId="0" borderId="6" xfId="257" applyNumberFormat="1" applyFont="1" applyBorder="1" applyAlignment="1" applyProtection="1">
      <alignment horizontal="center"/>
    </xf>
    <xf numFmtId="174" fontId="1" fillId="0" borderId="22" xfId="0" applyNumberFormat="1" applyFont="1" applyBorder="1" applyProtection="1"/>
    <xf numFmtId="41" fontId="1" fillId="0" borderId="0" xfId="257" applyNumberFormat="1" applyFont="1" applyBorder="1" applyAlignment="1" applyProtection="1"/>
    <xf numFmtId="173" fontId="1" fillId="0" borderId="0" xfId="257" applyNumberFormat="1" applyFont="1" applyBorder="1" applyAlignment="1" applyProtection="1">
      <alignment horizontal="center"/>
    </xf>
    <xf numFmtId="41" fontId="11" fillId="0" borderId="0" xfId="257" applyNumberFormat="1" applyFont="1" applyFill="1" applyAlignment="1" applyProtection="1">
      <alignment horizontal="left"/>
    </xf>
    <xf numFmtId="41" fontId="1" fillId="0" borderId="0" xfId="257" applyNumberFormat="1" applyFont="1" applyFill="1" applyBorder="1" applyAlignment="1" applyProtection="1">
      <alignment horizontal="right"/>
    </xf>
    <xf numFmtId="167" fontId="11" fillId="0" borderId="0" xfId="257" applyNumberFormat="1" applyFont="1" applyAlignment="1" applyProtection="1"/>
    <xf numFmtId="164" fontId="11" fillId="0" borderId="0" xfId="257" applyNumberFormat="1" applyFont="1" applyFill="1" applyBorder="1" applyAlignment="1" applyProtection="1">
      <alignment horizontal="left"/>
    </xf>
    <xf numFmtId="164" fontId="11" fillId="0" borderId="0" xfId="257" applyNumberFormat="1" applyFont="1" applyBorder="1" applyAlignment="1" applyProtection="1">
      <alignment horizontal="left"/>
    </xf>
    <xf numFmtId="3" fontId="11" fillId="0" borderId="0" xfId="257" applyNumberFormat="1" applyFont="1" applyAlignment="1" applyProtection="1">
      <alignment vertical="center" wrapText="1"/>
    </xf>
    <xf numFmtId="41" fontId="11" fillId="0" borderId="0" xfId="257" applyNumberFormat="1" applyFont="1" applyBorder="1" applyAlignment="1" applyProtection="1">
      <alignment vertical="center"/>
    </xf>
    <xf numFmtId="41" fontId="11" fillId="0" borderId="0" xfId="257" applyNumberFormat="1" applyFont="1" applyBorder="1" applyAlignment="1" applyProtection="1">
      <alignment horizontal="center" vertical="center"/>
    </xf>
    <xf numFmtId="41" fontId="11" fillId="0" borderId="0" xfId="25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7" applyNumberFormat="1" applyFont="1" applyFill="1" applyBorder="1" applyAlignment="1" applyProtection="1"/>
    <xf numFmtId="41" fontId="11" fillId="0" borderId="6" xfId="257" applyNumberFormat="1" applyFont="1" applyFill="1" applyBorder="1" applyAlignment="1" applyProtection="1"/>
    <xf numFmtId="0" fontId="11" fillId="0" borderId="0" xfId="257" applyNumberFormat="1" applyFont="1" applyFill="1" applyBorder="1" applyAlignment="1" applyProtection="1"/>
    <xf numFmtId="3" fontId="11" fillId="0" borderId="0" xfId="257" applyNumberFormat="1" applyFont="1" applyFill="1" applyBorder="1" applyAlignment="1" applyProtection="1"/>
    <xf numFmtId="0" fontId="11" fillId="32" borderId="0" xfId="257" applyNumberFormat="1" applyFont="1" applyFill="1" applyBorder="1" applyAlignment="1" applyProtection="1"/>
    <xf numFmtId="41" fontId="11" fillId="0" borderId="0" xfId="257" applyNumberFormat="1" applyFont="1" applyFill="1" applyBorder="1" applyAlignment="1" applyProtection="1">
      <alignment horizontal="center"/>
    </xf>
    <xf numFmtId="0" fontId="11" fillId="0" borderId="0" xfId="257" applyNumberFormat="1" applyFont="1" applyFill="1" applyBorder="1" applyProtection="1"/>
    <xf numFmtId="41" fontId="12" fillId="0" borderId="0" xfId="257" applyNumberFormat="1" applyFont="1" applyFill="1" applyBorder="1" applyAlignment="1" applyProtection="1"/>
    <xf numFmtId="3" fontId="11" fillId="0" borderId="0" xfId="257" applyNumberFormat="1" applyFont="1" applyFill="1" applyBorder="1" applyAlignment="1" applyProtection="1">
      <alignment horizontal="center"/>
    </xf>
    <xf numFmtId="0" fontId="11" fillId="0" borderId="0" xfId="257" applyNumberFormat="1" applyFont="1" applyFill="1" applyBorder="1" applyAlignment="1" applyProtection="1">
      <alignment horizontal="center"/>
    </xf>
    <xf numFmtId="10" fontId="11" fillId="0" borderId="0" xfId="257" applyNumberFormat="1" applyFont="1" applyFill="1" applyBorder="1" applyAlignment="1" applyProtection="1"/>
    <xf numFmtId="169" fontId="11" fillId="0" borderId="0" xfId="257" applyNumberFormat="1" applyFont="1" applyFill="1" applyBorder="1" applyAlignment="1" applyProtection="1"/>
    <xf numFmtId="172" fontId="11" fillId="0" borderId="0" xfId="257" applyFont="1" applyFill="1" applyBorder="1" applyAlignment="1" applyProtection="1"/>
    <xf numFmtId="169" fontId="8" fillId="0" borderId="0" xfId="25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0" fillId="30" borderId="22" xfId="0" applyFont="1" applyFill="1" applyBorder="1" applyAlignment="1" applyProtection="1">
      <alignment horizontal="right"/>
      <protection locked="0"/>
    </xf>
    <xf numFmtId="173" fontId="150" fillId="30" borderId="20" xfId="86" applyNumberFormat="1" applyFont="1" applyFill="1" applyBorder="1" applyAlignment="1" applyProtection="1">
      <alignment horizontal="right"/>
      <protection locked="0"/>
    </xf>
    <xf numFmtId="0" fontId="150"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9" applyNumberFormat="1" applyFont="1" applyAlignment="1" applyProtection="1">
      <alignment horizontal="right"/>
    </xf>
    <xf numFmtId="172" fontId="11" fillId="0" borderId="23" xfId="257" applyFont="1" applyBorder="1" applyAlignment="1" applyProtection="1"/>
    <xf numFmtId="172" fontId="11" fillId="0" borderId="17" xfId="257" applyFont="1" applyBorder="1" applyAlignment="1" applyProtection="1"/>
    <xf numFmtId="3" fontId="11" fillId="0" borderId="24" xfId="257" applyNumberFormat="1" applyFont="1" applyBorder="1" applyAlignment="1" applyProtection="1"/>
    <xf numFmtId="172" fontId="11" fillId="0" borderId="19" xfId="257" applyFont="1" applyBorder="1" applyAlignment="1" applyProtection="1"/>
    <xf numFmtId="3" fontId="11" fillId="0" borderId="20" xfId="257" applyNumberFormat="1" applyFont="1" applyBorder="1" applyAlignment="1" applyProtection="1"/>
    <xf numFmtId="0" fontId="11" fillId="0" borderId="0" xfId="25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7" applyNumberFormat="1" applyFont="1" applyBorder="1" applyAlignment="1" applyProtection="1">
      <alignment horizontal="center"/>
    </xf>
    <xf numFmtId="0" fontId="11" fillId="0" borderId="6" xfId="257" applyNumberFormat="1" applyFont="1" applyBorder="1" applyAlignment="1" applyProtection="1">
      <alignment horizontal="center"/>
    </xf>
    <xf numFmtId="173" fontId="11" fillId="0" borderId="6" xfId="257" quotePrefix="1" applyNumberFormat="1" applyFont="1" applyBorder="1" applyAlignment="1" applyProtection="1">
      <alignment horizontal="center"/>
    </xf>
    <xf numFmtId="41" fontId="11" fillId="0" borderId="0" xfId="257" applyNumberFormat="1" applyFont="1" applyFill="1" applyBorder="1" applyAlignment="1" applyProtection="1">
      <alignment horizontal="right"/>
    </xf>
    <xf numFmtId="41" fontId="11" fillId="0" borderId="11" xfId="257" applyNumberFormat="1" applyFont="1" applyFill="1" applyBorder="1" applyAlignment="1" applyProtection="1"/>
    <xf numFmtId="10" fontId="11" fillId="0" borderId="0" xfId="26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0" applyFont="1" applyFill="1" applyProtection="1"/>
    <xf numFmtId="0" fontId="8" fillId="0" borderId="0" xfId="250" applyFont="1" applyFill="1" applyProtection="1"/>
    <xf numFmtId="3" fontId="8" fillId="0" borderId="0" xfId="257" applyNumberFormat="1" applyFont="1" applyFill="1" applyAlignment="1" applyProtection="1"/>
    <xf numFmtId="0" fontId="1" fillId="0" borderId="0" xfId="250" applyFont="1" applyFill="1" applyProtection="1"/>
    <xf numFmtId="0" fontId="1" fillId="0" borderId="0" xfId="250" applyFont="1" applyFill="1" applyAlignment="1" applyProtection="1">
      <alignment horizontal="left"/>
    </xf>
    <xf numFmtId="0" fontId="11" fillId="0" borderId="0" xfId="250" applyFont="1" applyFill="1" applyAlignment="1" applyProtection="1">
      <alignment horizontal="left"/>
    </xf>
    <xf numFmtId="0" fontId="8" fillId="0" borderId="0" xfId="250" applyFont="1" applyFill="1" applyAlignment="1" applyProtection="1">
      <alignment horizontal="left"/>
    </xf>
    <xf numFmtId="173" fontId="7" fillId="30" borderId="0" xfId="86" applyNumberFormat="1" applyFont="1" applyFill="1" applyBorder="1" applyProtection="1">
      <protection locked="0"/>
    </xf>
    <xf numFmtId="10" fontId="7" fillId="30" borderId="0" xfId="269" applyNumberFormat="1" applyFont="1" applyFill="1" applyAlignment="1" applyProtection="1">
      <alignment horizontal="right" wrapText="1"/>
      <protection locked="0"/>
    </xf>
    <xf numFmtId="44" fontId="7" fillId="30" borderId="0" xfId="116"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0" applyFont="1" applyAlignment="1" applyProtection="1"/>
    <xf numFmtId="0" fontId="2" fillId="0" borderId="0" xfId="260" applyProtection="1"/>
    <xf numFmtId="0" fontId="102" fillId="0" borderId="0" xfId="260" applyFont="1" applyProtection="1"/>
    <xf numFmtId="0" fontId="103" fillId="0" borderId="0" xfId="260" applyFont="1" applyAlignment="1" applyProtection="1">
      <alignment horizontal="center"/>
    </xf>
    <xf numFmtId="0" fontId="112" fillId="0" borderId="0" xfId="260" applyFont="1" applyAlignment="1" applyProtection="1">
      <alignment horizontal="center"/>
    </xf>
    <xf numFmtId="0" fontId="2" fillId="0" borderId="0" xfId="260" applyFont="1" applyAlignment="1" applyProtection="1">
      <alignment horizontal="center"/>
    </xf>
    <xf numFmtId="0" fontId="104" fillId="0" borderId="15" xfId="260" applyFont="1" applyBorder="1" applyProtection="1"/>
    <xf numFmtId="0" fontId="102" fillId="0" borderId="15" xfId="260" applyFont="1" applyBorder="1" applyProtection="1"/>
    <xf numFmtId="0" fontId="104" fillId="0" borderId="0" xfId="260" applyFont="1" applyBorder="1" applyProtection="1"/>
    <xf numFmtId="0" fontId="102" fillId="0" borderId="0" xfId="260" applyFont="1" applyBorder="1" applyProtection="1"/>
    <xf numFmtId="0" fontId="2" fillId="0" borderId="0" xfId="260" applyBorder="1" applyProtection="1"/>
    <xf numFmtId="0" fontId="2" fillId="0" borderId="0" xfId="260" applyFont="1" applyBorder="1" applyProtection="1"/>
    <xf numFmtId="0" fontId="11" fillId="0" borderId="0" xfId="264" applyFont="1" applyProtection="1"/>
    <xf numFmtId="0" fontId="8" fillId="0" borderId="0" xfId="26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0" applyFont="1" applyFill="1" applyAlignment="1" applyProtection="1">
      <alignment horizontal="left" vertical="top" wrapText="1"/>
    </xf>
    <xf numFmtId="0" fontId="109" fillId="0" borderId="0" xfId="264" applyProtection="1"/>
    <xf numFmtId="0" fontId="8" fillId="0" borderId="0" xfId="264" applyFont="1" applyFill="1" applyProtection="1"/>
    <xf numFmtId="173" fontId="11" fillId="0" borderId="0" xfId="264" applyNumberFormat="1" applyFont="1" applyProtection="1"/>
    <xf numFmtId="0" fontId="11" fillId="0" borderId="0" xfId="264" applyFont="1" applyAlignment="1" applyProtection="1">
      <alignment vertical="top" wrapText="1"/>
    </xf>
    <xf numFmtId="10" fontId="11" fillId="0" borderId="0" xfId="264" applyNumberFormat="1" applyFont="1" applyProtection="1"/>
    <xf numFmtId="44" fontId="11" fillId="0" borderId="0" xfId="264" applyNumberFormat="1" applyFont="1" applyProtection="1"/>
    <xf numFmtId="0" fontId="113" fillId="0" borderId="0" xfId="264" applyFont="1" applyFill="1" applyProtection="1"/>
    <xf numFmtId="173" fontId="11" fillId="0" borderId="11" xfId="264" applyNumberFormat="1" applyFont="1" applyBorder="1" applyProtection="1"/>
    <xf numFmtId="10" fontId="11" fillId="0" borderId="0" xfId="269" applyNumberFormat="1" applyFont="1" applyProtection="1"/>
    <xf numFmtId="0" fontId="11" fillId="0" borderId="0" xfId="264" applyFont="1" applyFill="1" applyProtection="1"/>
    <xf numFmtId="10" fontId="11" fillId="0" borderId="0" xfId="269" applyNumberFormat="1" applyFont="1" applyFill="1" applyProtection="1"/>
    <xf numFmtId="10" fontId="11" fillId="32" borderId="0" xfId="269" applyNumberFormat="1" applyFont="1" applyFill="1" applyProtection="1"/>
    <xf numFmtId="10" fontId="11" fillId="0" borderId="11" xfId="269" applyNumberFormat="1" applyFont="1" applyBorder="1" applyProtection="1"/>
    <xf numFmtId="0" fontId="8" fillId="0" borderId="0" xfId="264" applyFont="1" applyProtection="1"/>
    <xf numFmtId="10" fontId="8" fillId="0" borderId="0" xfId="269" applyNumberFormat="1" applyFont="1" applyProtection="1"/>
    <xf numFmtId="173" fontId="11" fillId="0" borderId="11" xfId="86" applyNumberFormat="1" applyFont="1" applyFill="1" applyBorder="1" applyProtection="1"/>
    <xf numFmtId="0" fontId="114" fillId="0" borderId="0" xfId="264" applyFont="1" applyFill="1" applyProtection="1"/>
    <xf numFmtId="0" fontId="11" fillId="0" borderId="0" xfId="250" applyFont="1" applyFill="1" applyBorder="1" applyAlignment="1" applyProtection="1">
      <alignment horizontal="left"/>
    </xf>
    <xf numFmtId="0" fontId="93" fillId="0" borderId="0" xfId="264" applyFont="1" applyFill="1" applyProtection="1"/>
    <xf numFmtId="173" fontId="11" fillId="0" borderId="0" xfId="264" applyNumberFormat="1" applyFont="1" applyFill="1" applyProtection="1"/>
    <xf numFmtId="0" fontId="11" fillId="0" borderId="0" xfId="264" applyFont="1" applyFill="1" applyAlignment="1" applyProtection="1">
      <alignment vertical="top" wrapText="1"/>
    </xf>
    <xf numFmtId="43" fontId="11" fillId="0" borderId="0" xfId="264" applyNumberFormat="1" applyFont="1" applyProtection="1"/>
    <xf numFmtId="10" fontId="11" fillId="0" borderId="11" xfId="269" applyNumberFormat="1" applyFont="1" applyFill="1" applyBorder="1" applyProtection="1"/>
    <xf numFmtId="10" fontId="93" fillId="0" borderId="0" xfId="269" applyNumberFormat="1" applyFont="1" applyFill="1" applyProtection="1"/>
    <xf numFmtId="10" fontId="11" fillId="30" borderId="0" xfId="269" applyNumberFormat="1" applyFont="1" applyFill="1" applyAlignment="1" applyProtection="1">
      <alignment horizontal="right" wrapText="1"/>
      <protection locked="0"/>
    </xf>
    <xf numFmtId="164" fontId="7" fillId="30" borderId="0" xfId="269" applyNumberFormat="1" applyFont="1" applyFill="1" applyAlignment="1" applyProtection="1">
      <alignment horizontal="right" wrapText="1"/>
      <protection locked="0"/>
    </xf>
    <xf numFmtId="44" fontId="11" fillId="30" borderId="0" xfId="116"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7" applyNumberFormat="1" applyFont="1" applyFill="1" applyProtection="1"/>
    <xf numFmtId="176" fontId="121" fillId="30" borderId="0" xfId="270" applyNumberFormat="1" applyFont="1" applyFill="1" applyProtection="1">
      <protection locked="0"/>
    </xf>
    <xf numFmtId="0" fontId="11" fillId="32" borderId="0" xfId="0" applyFont="1" applyFill="1" applyProtection="1"/>
    <xf numFmtId="173" fontId="1" fillId="30" borderId="6" xfId="257" applyNumberFormat="1" applyFont="1" applyFill="1" applyBorder="1" applyAlignment="1" applyProtection="1">
      <alignment horizontal="center"/>
      <protection locked="0"/>
    </xf>
    <xf numFmtId="174" fontId="150"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7" applyNumberFormat="1" applyFont="1" applyFill="1" applyBorder="1" applyAlignment="1" applyProtection="1"/>
    <xf numFmtId="41" fontId="11" fillId="32" borderId="0" xfId="257" applyNumberFormat="1" applyFont="1" applyFill="1" applyBorder="1" applyAlignment="1" applyProtection="1"/>
    <xf numFmtId="41" fontId="11" fillId="32" borderId="0" xfId="25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0" applyFont="1" applyFill="1" applyAlignment="1" applyProtection="1">
      <alignment horizontal="left"/>
      <protection locked="0"/>
    </xf>
    <xf numFmtId="0" fontId="14" fillId="30" borderId="0" xfId="250" applyFont="1" applyFill="1" applyProtection="1">
      <protection locked="0"/>
    </xf>
    <xf numFmtId="0" fontId="9" fillId="30" borderId="0" xfId="250" applyFont="1" applyFill="1" applyAlignment="1" applyProtection="1">
      <alignment horizontal="center"/>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0" applyNumberFormat="1" applyFont="1" applyFill="1" applyProtection="1">
      <protection locked="0"/>
    </xf>
    <xf numFmtId="0" fontId="62" fillId="0" borderId="0" xfId="250" applyFont="1" applyAlignment="1">
      <alignment horizontal="center"/>
    </xf>
    <xf numFmtId="0" fontId="62" fillId="0" borderId="0" xfId="250" applyFont="1"/>
    <xf numFmtId="41" fontId="62" fillId="0" borderId="0" xfId="250" applyNumberFormat="1" applyFont="1"/>
    <xf numFmtId="41" fontId="124" fillId="30" borderId="11" xfId="250" applyNumberFormat="1" applyFont="1" applyFill="1" applyBorder="1" applyProtection="1">
      <protection locked="0"/>
    </xf>
    <xf numFmtId="0" fontId="62" fillId="0" borderId="0" xfId="25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0" applyNumberFormat="1" applyFont="1" applyFill="1"/>
    <xf numFmtId="38" fontId="62" fillId="0" borderId="0" xfId="0" applyNumberFormat="1" applyFont="1" applyFill="1" applyBorder="1" applyAlignment="1"/>
    <xf numFmtId="0" fontId="62" fillId="0" borderId="0" xfId="208" applyFont="1" applyFill="1" applyBorder="1" applyAlignment="1">
      <alignment horizontal="center"/>
    </xf>
    <xf numFmtId="0" fontId="62" fillId="0" borderId="0" xfId="208" applyFont="1" applyFill="1" applyBorder="1"/>
    <xf numFmtId="0" fontId="62" fillId="0" borderId="0" xfId="250" applyFont="1" applyAlignment="1">
      <alignment horizontal="left"/>
    </xf>
    <xf numFmtId="3" fontId="62" fillId="0" borderId="0" xfId="208" applyNumberFormat="1" applyFont="1" applyFill="1" applyBorder="1" applyAlignment="1"/>
    <xf numFmtId="38" fontId="62" fillId="0" borderId="0" xfId="0" applyNumberFormat="1" applyFont="1" applyFill="1" applyBorder="1" applyAlignment="1">
      <alignment horizontal="center"/>
    </xf>
    <xf numFmtId="0" fontId="126" fillId="0" borderId="0" xfId="250" applyFont="1" applyAlignment="1">
      <alignment horizontal="center"/>
    </xf>
    <xf numFmtId="0" fontId="39" fillId="0" borderId="0" xfId="250" applyFont="1" applyFill="1" applyAlignment="1">
      <alignment horizontal="center"/>
    </xf>
    <xf numFmtId="9" fontId="39" fillId="0" borderId="0" xfId="250" applyNumberFormat="1" applyFont="1" applyFill="1" applyAlignment="1">
      <alignment horizontal="center"/>
    </xf>
    <xf numFmtId="0" fontId="39" fillId="0" borderId="0" xfId="250" applyFont="1" applyFill="1" applyBorder="1"/>
    <xf numFmtId="0" fontId="39" fillId="0" borderId="0" xfId="250" applyFont="1" applyAlignment="1">
      <alignment horizontal="center" wrapText="1"/>
    </xf>
    <xf numFmtId="0" fontId="126" fillId="0" borderId="0" xfId="250" applyFont="1" applyAlignment="1">
      <alignment horizontal="right"/>
    </xf>
    <xf numFmtId="0" fontId="62" fillId="0" borderId="0" xfId="0" applyFont="1" applyAlignment="1">
      <alignment horizontal="center" wrapText="1"/>
    </xf>
    <xf numFmtId="0" fontId="39" fillId="0" borderId="11" xfId="250" applyFont="1" applyBorder="1" applyAlignment="1">
      <alignment horizontal="center"/>
    </xf>
    <xf numFmtId="173" fontId="151"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3" applyFont="1" applyFill="1" applyAlignment="1" applyProtection="1">
      <alignment horizontal="center"/>
    </xf>
    <xf numFmtId="43" fontId="11" fillId="0" borderId="0" xfId="114" applyFont="1" applyFill="1" applyProtection="1"/>
    <xf numFmtId="173" fontId="7" fillId="30" borderId="0" xfId="114" applyNumberFormat="1" applyFont="1" applyFill="1" applyProtection="1">
      <protection locked="0"/>
    </xf>
    <xf numFmtId="173" fontId="11" fillId="0" borderId="0" xfId="263" applyNumberFormat="1" applyFont="1" applyFill="1" applyProtection="1"/>
    <xf numFmtId="0" fontId="129" fillId="0" borderId="0" xfId="0" applyFont="1" applyAlignment="1">
      <alignment vertical="center"/>
    </xf>
    <xf numFmtId="0" fontId="70" fillId="0" borderId="11" xfId="258" applyFont="1" applyBorder="1" applyAlignment="1">
      <alignment horizontal="center"/>
    </xf>
    <xf numFmtId="173" fontId="77" fillId="0" borderId="11" xfId="258" applyNumberFormat="1" applyFont="1" applyFill="1" applyBorder="1"/>
    <xf numFmtId="0" fontId="70" fillId="0" borderId="11" xfId="258" applyFont="1" applyBorder="1"/>
    <xf numFmtId="0" fontId="11" fillId="0" borderId="11" xfId="258" applyFont="1" applyBorder="1"/>
    <xf numFmtId="0" fontId="17" fillId="0" borderId="11" xfId="258" applyFont="1" applyFill="1" applyBorder="1"/>
    <xf numFmtId="173" fontId="88" fillId="0" borderId="11" xfId="258" applyNumberFormat="1" applyFont="1" applyFill="1" applyBorder="1"/>
    <xf numFmtId="173" fontId="70" fillId="0" borderId="0" xfId="258" applyNumberFormat="1" applyFont="1" applyFill="1" applyBorder="1" applyProtection="1">
      <protection locked="0"/>
    </xf>
    <xf numFmtId="9" fontId="77" fillId="30" borderId="0" xfId="269" applyFont="1" applyFill="1" applyBorder="1" applyProtection="1">
      <protection locked="0"/>
    </xf>
    <xf numFmtId="173" fontId="77" fillId="30" borderId="0" xfId="258" applyNumberFormat="1" applyFont="1" applyFill="1" applyBorder="1" applyAlignment="1" applyProtection="1">
      <alignment horizontal="center"/>
      <protection locked="0"/>
    </xf>
    <xf numFmtId="0" fontId="11" fillId="0" borderId="0" xfId="163"/>
    <xf numFmtId="0" fontId="11" fillId="0" borderId="0" xfId="163" applyAlignment="1">
      <alignment horizontal="center"/>
    </xf>
    <xf numFmtId="0" fontId="11" fillId="0" borderId="0" xfId="163" applyFont="1" applyFill="1" applyAlignment="1">
      <alignment horizontal="center"/>
    </xf>
    <xf numFmtId="0" fontId="11" fillId="0" borderId="0" xfId="163" applyFont="1" applyAlignment="1">
      <alignment horizontal="center"/>
    </xf>
    <xf numFmtId="0" fontId="11" fillId="0" borderId="0" xfId="163" applyFont="1" applyAlignment="1"/>
    <xf numFmtId="0" fontId="11" fillId="0" borderId="0" xfId="163" applyFill="1" applyAlignment="1"/>
    <xf numFmtId="0" fontId="11" fillId="0" borderId="0" xfId="163" applyProtection="1"/>
    <xf numFmtId="41" fontId="7" fillId="30" borderId="0" xfId="251" applyNumberFormat="1" applyFont="1" applyFill="1" applyProtection="1">
      <protection locked="0"/>
    </xf>
    <xf numFmtId="0" fontId="11" fillId="0" borderId="0" xfId="163" applyFont="1" applyFill="1" applyAlignment="1"/>
    <xf numFmtId="0" fontId="11" fillId="0" borderId="0" xfId="163" applyFill="1" applyAlignment="1">
      <alignment horizontal="center"/>
    </xf>
    <xf numFmtId="0" fontId="8" fillId="0" borderId="0" xfId="163" applyFont="1" applyFill="1" applyAlignment="1">
      <alignment horizontal="left"/>
    </xf>
    <xf numFmtId="3" fontId="11" fillId="0" borderId="0" xfId="163" applyNumberFormat="1" applyFont="1" applyFill="1" applyAlignment="1"/>
    <xf numFmtId="3" fontId="11" fillId="0" borderId="0" xfId="163" applyNumberFormat="1" applyFill="1" applyAlignment="1"/>
    <xf numFmtId="0" fontId="12" fillId="0" borderId="0" xfId="163" applyFont="1" applyFill="1" applyAlignment="1">
      <alignment horizontal="center"/>
    </xf>
    <xf numFmtId="3" fontId="11" fillId="0" borderId="0" xfId="163" applyNumberFormat="1" applyFont="1" applyFill="1" applyAlignment="1">
      <alignment horizontal="centerContinuous"/>
    </xf>
    <xf numFmtId="3" fontId="12" fillId="0" borderId="0" xfId="163" applyNumberFormat="1" applyFont="1" applyFill="1" applyAlignment="1">
      <alignment horizontal="centerContinuous"/>
    </xf>
    <xf numFmtId="3" fontId="11" fillId="0" borderId="0" xfId="163" applyNumberFormat="1" applyFill="1" applyAlignment="1">
      <alignment horizontal="centerContinuous"/>
    </xf>
    <xf numFmtId="3" fontId="11" fillId="0" borderId="32" xfId="163" applyNumberFormat="1" applyFont="1" applyFill="1" applyBorder="1" applyAlignment="1"/>
    <xf numFmtId="3" fontId="11" fillId="0" borderId="0" xfId="163" applyNumberFormat="1" applyFont="1" applyFill="1" applyAlignment="1">
      <alignment horizontal="left"/>
    </xf>
    <xf numFmtId="37" fontId="11" fillId="0" borderId="0" xfId="163" applyNumberFormat="1" applyFont="1" applyFill="1" applyAlignment="1"/>
    <xf numFmtId="37" fontId="11" fillId="0" borderId="0" xfId="163" applyNumberFormat="1" applyFont="1" applyFill="1" applyAlignment="1">
      <alignment horizontal="center"/>
    </xf>
    <xf numFmtId="37" fontId="11" fillId="0" borderId="32" xfId="163" applyNumberFormat="1" applyFont="1" applyFill="1" applyBorder="1" applyAlignment="1"/>
    <xf numFmtId="37" fontId="11" fillId="0" borderId="33" xfId="163" applyNumberFormat="1" applyFont="1" applyFill="1" applyBorder="1" applyAlignment="1"/>
    <xf numFmtId="37" fontId="11" fillId="0" borderId="0" xfId="163" applyNumberFormat="1" applyFill="1" applyAlignment="1"/>
    <xf numFmtId="37" fontId="11" fillId="0" borderId="34" xfId="163" applyNumberFormat="1" applyFont="1" applyFill="1" applyBorder="1" applyAlignment="1"/>
    <xf numFmtId="37" fontId="11" fillId="0" borderId="0" xfId="163" applyNumberFormat="1" applyFont="1" applyFill="1"/>
    <xf numFmtId="3" fontId="11" fillId="0" borderId="0" xfId="163" applyNumberFormat="1" applyFont="1" applyFill="1" applyAlignment="1" applyProtection="1">
      <alignment horizontal="center"/>
      <protection locked="0"/>
    </xf>
    <xf numFmtId="3" fontId="11" fillId="0" borderId="0" xfId="163" applyNumberFormat="1" applyFont="1" applyFill="1" applyAlignment="1">
      <alignment horizontal="center"/>
    </xf>
    <xf numFmtId="3" fontId="11" fillId="0" borderId="0" xfId="163" applyNumberFormat="1" applyFont="1" applyAlignment="1" applyProtection="1">
      <protection locked="0"/>
    </xf>
    <xf numFmtId="3" fontId="11" fillId="0" borderId="0" xfId="163" applyNumberFormat="1" applyFont="1" applyAlignment="1"/>
    <xf numFmtId="0" fontId="12" fillId="0" borderId="0" xfId="163" applyFont="1" applyAlignment="1">
      <alignment horizontal="center"/>
    </xf>
    <xf numFmtId="3" fontId="11" fillId="0" borderId="0" xfId="163" applyNumberFormat="1" applyFont="1" applyAlignment="1">
      <alignment horizontal="centerContinuous"/>
    </xf>
    <xf numFmtId="3" fontId="12" fillId="0" borderId="0" xfId="163" applyNumberFormat="1" applyFont="1" applyAlignment="1">
      <alignment horizontal="centerContinuous"/>
    </xf>
    <xf numFmtId="3" fontId="11" fillId="0" borderId="0" xfId="163" applyNumberFormat="1" applyAlignment="1">
      <alignment horizontal="centerContinuous"/>
    </xf>
    <xf numFmtId="3" fontId="11" fillId="0" borderId="32" xfId="163" applyNumberFormat="1" applyFont="1" applyBorder="1" applyAlignment="1"/>
    <xf numFmtId="0" fontId="11" fillId="0" borderId="0" xfId="163" applyFont="1" applyFill="1" applyAlignment="1">
      <alignment horizontal="left"/>
    </xf>
    <xf numFmtId="37" fontId="11" fillId="0" borderId="14" xfId="163" applyNumberFormat="1" applyFont="1" applyFill="1" applyBorder="1" applyAlignment="1"/>
    <xf numFmtId="37" fontId="11" fillId="0" borderId="0" xfId="163" applyNumberFormat="1"/>
    <xf numFmtId="37" fontId="152" fillId="0" borderId="33" xfId="163" applyNumberFormat="1" applyFont="1" applyFill="1" applyBorder="1" applyAlignment="1"/>
    <xf numFmtId="37" fontId="152" fillId="0" borderId="0" xfId="163" applyNumberFormat="1" applyFont="1" applyFill="1" applyAlignment="1"/>
    <xf numFmtId="4" fontId="11" fillId="0" borderId="0" xfId="163" applyNumberFormat="1" applyFont="1" applyFill="1" applyAlignment="1">
      <alignment horizontal="center"/>
    </xf>
    <xf numFmtId="196" fontId="7" fillId="30" borderId="0" xfId="251" applyNumberFormat="1" applyFont="1" applyFill="1" applyProtection="1">
      <protection locked="0"/>
    </xf>
    <xf numFmtId="3" fontId="11" fillId="33" borderId="0" xfId="163" applyNumberFormat="1" applyFont="1" applyFill="1" applyAlignment="1"/>
    <xf numFmtId="0" fontId="11" fillId="33" borderId="0" xfId="163" applyFill="1"/>
    <xf numFmtId="3" fontId="11" fillId="33" borderId="0" xfId="163" applyNumberFormat="1" applyFont="1" applyFill="1" applyAlignment="1" applyProtection="1">
      <alignment horizontal="center"/>
      <protection locked="0"/>
    </xf>
    <xf numFmtId="0" fontId="11" fillId="33" borderId="0" xfId="163" applyFont="1" applyFill="1" applyAlignment="1">
      <alignment horizontal="center"/>
    </xf>
    <xf numFmtId="0" fontId="12" fillId="33" borderId="0" xfId="163" applyFont="1" applyFill="1" applyAlignment="1">
      <alignment horizontal="center"/>
    </xf>
    <xf numFmtId="41" fontId="7" fillId="30" borderId="0" xfId="252" applyNumberFormat="1" applyFont="1" applyFill="1"/>
    <xf numFmtId="3" fontId="8" fillId="0" borderId="0" xfId="163" applyNumberFormat="1" applyFont="1" applyFill="1" applyAlignment="1">
      <alignment horizontal="left"/>
    </xf>
    <xf numFmtId="196" fontId="7" fillId="30" borderId="0" xfId="252" applyNumberFormat="1" applyFont="1" applyFill="1" applyProtection="1">
      <protection locked="0"/>
    </xf>
    <xf numFmtId="173" fontId="11" fillId="0" borderId="0" xfId="258" applyNumberFormat="1" applyFont="1"/>
    <xf numFmtId="173" fontId="77" fillId="30" borderId="0" xfId="258" applyNumberFormat="1" applyFont="1" applyFill="1" applyBorder="1" applyProtection="1">
      <protection locked="0"/>
    </xf>
    <xf numFmtId="0" fontId="17" fillId="0" borderId="11" xfId="258" applyNumberFormat="1" applyFont="1" applyBorder="1" applyAlignment="1">
      <alignment horizontal="center"/>
    </xf>
    <xf numFmtId="0" fontId="17" fillId="0" borderId="11" xfId="258" applyNumberFormat="1" applyFont="1" applyBorder="1"/>
    <xf numFmtId="0" fontId="17" fillId="0" borderId="11" xfId="258" applyFont="1" applyBorder="1"/>
    <xf numFmtId="173" fontId="70" fillId="0" borderId="11" xfId="25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1" applyFont="1" applyAlignment="1">
      <alignment horizontal="centerContinuous"/>
    </xf>
    <xf numFmtId="0" fontId="11" fillId="0" borderId="0" xfId="261" applyFont="1" applyFill="1" applyAlignment="1">
      <alignment horizontal="left"/>
    </xf>
    <xf numFmtId="0" fontId="8" fillId="0" borderId="0" xfId="261" applyFont="1" applyAlignment="1">
      <alignment horizontal="center"/>
    </xf>
    <xf numFmtId="0" fontId="8" fillId="0" borderId="0" xfId="261" applyFont="1" applyBorder="1" applyAlignment="1">
      <alignment wrapText="1"/>
    </xf>
    <xf numFmtId="0" fontId="11" fillId="0" borderId="35" xfId="0" applyNumberFormat="1" applyFont="1" applyBorder="1" applyAlignment="1">
      <alignment horizontal="center" wrapText="1"/>
    </xf>
    <xf numFmtId="0" fontId="8" fillId="0" borderId="36" xfId="261" applyFont="1" applyBorder="1" applyAlignment="1">
      <alignment horizontal="center" wrapText="1"/>
    </xf>
    <xf numFmtId="0" fontId="8" fillId="0" borderId="0" xfId="26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7" xfId="0" applyNumberFormat="1" applyFont="1" applyBorder="1" applyAlignment="1">
      <alignment horizontal="center"/>
    </xf>
    <xf numFmtId="0" fontId="8" fillId="0" borderId="38" xfId="261" applyFont="1" applyBorder="1" applyAlignment="1">
      <alignment horizontal="center"/>
    </xf>
    <xf numFmtId="0" fontId="8" fillId="0" borderId="0" xfId="261" applyFont="1" applyBorder="1" applyAlignment="1">
      <alignment horizontal="center"/>
    </xf>
    <xf numFmtId="0" fontId="8" fillId="0" borderId="38" xfId="249" applyFont="1" applyFill="1" applyBorder="1" applyAlignment="1">
      <alignment horizontal="center" wrapText="1"/>
    </xf>
    <xf numFmtId="0" fontId="131" fillId="0" borderId="0" xfId="0" applyFont="1" applyAlignment="1"/>
    <xf numFmtId="3" fontId="23" fillId="0" borderId="11" xfId="208" applyNumberFormat="1" applyFont="1" applyFill="1" applyBorder="1" applyAlignment="1">
      <alignment horizontal="center" wrapText="1"/>
    </xf>
    <xf numFmtId="3" fontId="23" fillId="0" borderId="39" xfId="208" applyNumberFormat="1" applyFont="1" applyFill="1" applyBorder="1" applyAlignment="1">
      <alignment horizontal="center" wrapText="1"/>
    </xf>
    <xf numFmtId="0" fontId="11" fillId="0" borderId="38" xfId="261" quotePrefix="1" applyFont="1" applyBorder="1" applyAlignment="1">
      <alignment horizontal="left"/>
    </xf>
    <xf numFmtId="0" fontId="11" fillId="0" borderId="38" xfId="261" applyFont="1" applyBorder="1"/>
    <xf numFmtId="0" fontId="11" fillId="0" borderId="40" xfId="0" applyNumberFormat="1" applyFont="1" applyBorder="1" applyAlignment="1">
      <alignment horizontal="center"/>
    </xf>
    <xf numFmtId="0" fontId="11" fillId="0" borderId="39" xfId="261" applyFont="1" applyBorder="1"/>
    <xf numFmtId="0" fontId="11" fillId="0" borderId="39" xfId="26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1" applyFont="1"/>
    <xf numFmtId="37" fontId="11" fillId="0" borderId="0" xfId="261" applyNumberFormat="1" applyFont="1"/>
    <xf numFmtId="172" fontId="11" fillId="0" borderId="0" xfId="254" applyFont="1" applyAlignment="1"/>
    <xf numFmtId="0" fontId="8" fillId="0" borderId="38" xfId="261" applyFont="1" applyBorder="1" applyAlignment="1">
      <alignment horizontal="center" wrapText="1"/>
    </xf>
    <xf numFmtId="0" fontId="11" fillId="0" borderId="16" xfId="0" applyNumberFormat="1" applyFont="1" applyBorder="1" applyAlignment="1">
      <alignment horizontal="center"/>
    </xf>
    <xf numFmtId="0" fontId="11" fillId="0" borderId="42" xfId="261" applyFont="1" applyBorder="1" applyAlignment="1">
      <alignment horizontal="right"/>
    </xf>
    <xf numFmtId="0" fontId="11" fillId="0" borderId="35" xfId="0" applyNumberFormat="1" applyFont="1" applyBorder="1" applyAlignment="1">
      <alignment horizontal="center"/>
    </xf>
    <xf numFmtId="0" fontId="8" fillId="0" borderId="2" xfId="261" applyFont="1" applyBorder="1" applyAlignment="1">
      <alignment horizontal="centerContinuous" wrapText="1"/>
    </xf>
    <xf numFmtId="0" fontId="11" fillId="0" borderId="35" xfId="0" applyFont="1" applyBorder="1" applyAlignment="1"/>
    <xf numFmtId="0" fontId="11" fillId="0" borderId="2" xfId="0" applyFont="1" applyBorder="1" applyAlignment="1"/>
    <xf numFmtId="0" fontId="11" fillId="0" borderId="37" xfId="0" applyNumberFormat="1" applyFont="1" applyBorder="1" applyAlignment="1">
      <alignment horizontal="center" wrapText="1"/>
    </xf>
    <xf numFmtId="0" fontId="8" fillId="0" borderId="37" xfId="261" applyFont="1" applyBorder="1" applyAlignment="1">
      <alignment horizontal="center" wrapText="1"/>
    </xf>
    <xf numFmtId="0" fontId="8" fillId="0" borderId="37" xfId="261" applyFont="1" applyBorder="1" applyAlignment="1">
      <alignment horizontal="center"/>
    </xf>
    <xf numFmtId="3" fontId="11" fillId="0" borderId="40" xfId="208" applyNumberFormat="1" applyFont="1" applyFill="1" applyBorder="1" applyAlignment="1">
      <alignment horizontal="center" wrapText="1"/>
    </xf>
    <xf numFmtId="3" fontId="11" fillId="0" borderId="11" xfId="208" applyNumberFormat="1" applyFont="1" applyFill="1" applyBorder="1" applyAlignment="1">
      <alignment horizontal="center" wrapText="1"/>
    </xf>
    <xf numFmtId="0" fontId="11" fillId="0" borderId="0" xfId="261" quotePrefix="1" applyFont="1" applyBorder="1" applyAlignment="1">
      <alignment horizontal="left"/>
    </xf>
    <xf numFmtId="0" fontId="11" fillId="0" borderId="0" xfId="261" applyFont="1" applyBorder="1"/>
    <xf numFmtId="0" fontId="11" fillId="0" borderId="11" xfId="261" applyFont="1" applyBorder="1"/>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8" applyFont="1" applyFill="1" applyBorder="1" applyAlignment="1">
      <alignment horizontal="left" vertical="center"/>
    </xf>
    <xf numFmtId="0" fontId="11" fillId="0" borderId="0" xfId="208" applyNumberFormat="1" applyFont="1" applyFill="1" applyBorder="1" applyAlignment="1">
      <alignment horizontal="center"/>
    </xf>
    <xf numFmtId="0" fontId="16" fillId="0" borderId="0" xfId="208" applyFont="1" applyBorder="1" applyAlignment="1">
      <alignment horizontal="center" vertical="center"/>
    </xf>
    <xf numFmtId="0" fontId="16" fillId="0" borderId="0" xfId="250" applyFont="1" applyAlignment="1">
      <alignment horizontal="center" vertical="center" wrapText="1"/>
    </xf>
    <xf numFmtId="0" fontId="16" fillId="0" borderId="0" xfId="208" quotePrefix="1" applyFont="1" applyBorder="1" applyAlignment="1">
      <alignment horizontal="center" vertical="center" wrapText="1"/>
    </xf>
    <xf numFmtId="0" fontId="16" fillId="0" borderId="0" xfId="208" applyFont="1" applyFill="1" applyBorder="1" applyAlignment="1">
      <alignment horizontal="left"/>
    </xf>
    <xf numFmtId="0" fontId="11" fillId="0" borderId="0" xfId="208" applyFont="1" applyFill="1" applyBorder="1" applyAlignment="1">
      <alignment horizontal="center"/>
    </xf>
    <xf numFmtId="3" fontId="11" fillId="0" borderId="0" xfId="208" applyNumberFormat="1" applyFont="1" applyFill="1" applyBorder="1" applyAlignment="1"/>
    <xf numFmtId="173" fontId="0" fillId="0" borderId="0" xfId="109" applyNumberFormat="1" applyFont="1" applyFill="1"/>
    <xf numFmtId="0" fontId="8" fillId="0" borderId="0" xfId="208" applyFont="1" applyFill="1" applyBorder="1" applyAlignment="1">
      <alignment horizontal="left"/>
    </xf>
    <xf numFmtId="0" fontId="11" fillId="0" borderId="0" xfId="208" applyFont="1" applyFill="1" applyBorder="1"/>
    <xf numFmtId="3" fontId="11" fillId="0" borderId="0" xfId="208" applyNumberFormat="1" applyFont="1" applyFill="1" applyBorder="1" applyAlignment="1">
      <alignment horizontal="right"/>
    </xf>
    <xf numFmtId="3" fontId="11" fillId="32" borderId="0" xfId="208" applyNumberFormat="1" applyFont="1" applyFill="1" applyBorder="1" applyAlignment="1"/>
    <xf numFmtId="0" fontId="11" fillId="0" borderId="0" xfId="208" applyFont="1" applyBorder="1"/>
    <xf numFmtId="0" fontId="11" fillId="30" borderId="0" xfId="208"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9" applyNumberFormat="1" applyFont="1" applyFill="1" applyBorder="1"/>
    <xf numFmtId="173" fontId="11" fillId="0" borderId="0" xfId="208" applyNumberFormat="1" applyFont="1" applyFill="1" applyBorder="1"/>
    <xf numFmtId="0" fontId="80" fillId="0" borderId="0" xfId="208" applyNumberFormat="1" applyFont="1" applyFill="1" applyBorder="1" applyAlignment="1">
      <alignment horizontal="center"/>
    </xf>
    <xf numFmtId="0" fontId="11" fillId="0" borderId="0" xfId="250" applyFont="1" applyFill="1" applyAlignment="1">
      <alignment horizontal="left"/>
    </xf>
    <xf numFmtId="0" fontId="96" fillId="0" borderId="0" xfId="250" applyFont="1" applyFill="1" applyBorder="1"/>
    <xf numFmtId="0" fontId="16" fillId="0" borderId="0" xfId="25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9"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9"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8" applyFont="1" applyFill="1" applyBorder="1" applyAlignment="1">
      <alignment horizontal="left"/>
    </xf>
    <xf numFmtId="43" fontId="4" fillId="0" borderId="6" xfId="257" applyNumberFormat="1" applyFont="1" applyFill="1" applyBorder="1" applyAlignment="1" applyProtection="1"/>
    <xf numFmtId="0" fontId="11" fillId="0" borderId="36" xfId="0" applyFont="1" applyBorder="1" applyAlignment="1"/>
    <xf numFmtId="3" fontId="11" fillId="0" borderId="39" xfId="208" applyNumberFormat="1" applyFont="1" applyFill="1" applyBorder="1" applyAlignment="1">
      <alignment horizontal="center" wrapText="1"/>
    </xf>
    <xf numFmtId="0" fontId="11" fillId="0" borderId="0" xfId="163" applyNumberFormat="1" applyFont="1" applyAlignment="1">
      <alignment horizontal="center"/>
    </xf>
    <xf numFmtId="0" fontId="14" fillId="0" borderId="0" xfId="163" applyFont="1" applyAlignment="1"/>
    <xf numFmtId="0" fontId="14" fillId="0" borderId="0" xfId="163" applyNumberFormat="1" applyFont="1" applyAlignment="1">
      <alignment horizontal="center"/>
    </xf>
    <xf numFmtId="0" fontId="14" fillId="0" borderId="0" xfId="163" applyFont="1" applyAlignment="1">
      <alignment horizontal="right"/>
    </xf>
    <xf numFmtId="0" fontId="90" fillId="0" borderId="0" xfId="261" applyFont="1" applyAlignment="1">
      <alignment horizontal="centerContinuous"/>
    </xf>
    <xf numFmtId="0" fontId="14" fillId="0" borderId="0" xfId="261" applyFont="1" applyFill="1" applyAlignment="1">
      <alignment horizontal="left"/>
    </xf>
    <xf numFmtId="0" fontId="90" fillId="0" borderId="0" xfId="261" applyFont="1" applyAlignment="1">
      <alignment horizontal="center"/>
    </xf>
    <xf numFmtId="0" fontId="11" fillId="0" borderId="0" xfId="163" applyFont="1"/>
    <xf numFmtId="0" fontId="11" fillId="0" borderId="35" xfId="163" applyNumberFormat="1" applyFont="1" applyBorder="1" applyAlignment="1">
      <alignment horizontal="center" wrapText="1"/>
    </xf>
    <xf numFmtId="0" fontId="8" fillId="0" borderId="44" xfId="261" applyFont="1" applyBorder="1" applyAlignment="1">
      <alignment horizontal="center" wrapText="1"/>
    </xf>
    <xf numFmtId="0" fontId="14" fillId="0" borderId="0" xfId="163" applyFont="1" applyAlignment="1">
      <alignment wrapText="1"/>
    </xf>
    <xf numFmtId="0" fontId="11" fillId="0" borderId="37" xfId="163" applyNumberFormat="1" applyFont="1" applyBorder="1" applyAlignment="1">
      <alignment horizontal="center"/>
    </xf>
    <xf numFmtId="0" fontId="8" fillId="0" borderId="10" xfId="261" applyFont="1" applyBorder="1" applyAlignment="1">
      <alignment horizontal="center"/>
    </xf>
    <xf numFmtId="0" fontId="133" fillId="0" borderId="0" xfId="163" applyFont="1" applyAlignment="1"/>
    <xf numFmtId="3" fontId="23" fillId="0" borderId="40" xfId="208" applyNumberFormat="1" applyFont="1" applyFill="1" applyBorder="1" applyAlignment="1">
      <alignment horizontal="center" wrapText="1"/>
    </xf>
    <xf numFmtId="3" fontId="23" fillId="0" borderId="45" xfId="208" applyNumberFormat="1" applyFont="1" applyFill="1" applyBorder="1" applyAlignment="1">
      <alignment wrapText="1"/>
    </xf>
    <xf numFmtId="173" fontId="7" fillId="26" borderId="0" xfId="108" applyNumberFormat="1" applyFont="1" applyFill="1" applyAlignment="1" applyProtection="1">
      <protection locked="0"/>
    </xf>
    <xf numFmtId="41" fontId="11" fillId="0" borderId="10" xfId="261" applyNumberFormat="1" applyFont="1" applyFill="1" applyBorder="1"/>
    <xf numFmtId="0" fontId="11" fillId="0" borderId="40" xfId="163" applyNumberFormat="1" applyFont="1" applyBorder="1" applyAlignment="1">
      <alignment horizontal="center"/>
    </xf>
    <xf numFmtId="173" fontId="11" fillId="0" borderId="46" xfId="88" applyNumberFormat="1" applyFont="1" applyBorder="1"/>
    <xf numFmtId="3" fontId="23" fillId="0" borderId="45" xfId="208"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3" applyNumberFormat="1" applyFont="1" applyBorder="1" applyAlignment="1">
      <alignment horizontal="center"/>
    </xf>
    <xf numFmtId="0" fontId="14" fillId="0" borderId="0" xfId="261" applyFont="1"/>
    <xf numFmtId="37" fontId="14" fillId="0" borderId="0" xfId="261" applyNumberFormat="1" applyFont="1"/>
    <xf numFmtId="172" fontId="14" fillId="0" borderId="0" xfId="254" applyFont="1" applyAlignment="1"/>
    <xf numFmtId="0" fontId="11" fillId="0" borderId="0" xfId="251" applyFont="1" applyFill="1" applyAlignment="1" applyProtection="1">
      <alignment vertical="top"/>
    </xf>
    <xf numFmtId="0" fontId="11" fillId="0" borderId="0" xfId="163" applyFont="1" applyAlignment="1" applyProtection="1">
      <alignment vertical="top" wrapText="1"/>
    </xf>
    <xf numFmtId="0" fontId="133" fillId="0" borderId="0" xfId="163" applyNumberFormat="1" applyFont="1" applyAlignment="1">
      <alignment horizontal="center"/>
    </xf>
    <xf numFmtId="0" fontId="89" fillId="0" borderId="0" xfId="252" applyFont="1" applyFill="1" applyProtection="1"/>
    <xf numFmtId="0" fontId="90" fillId="0" borderId="0" xfId="163" applyFont="1" applyAlignment="1">
      <alignment horizontal="center"/>
    </xf>
    <xf numFmtId="0" fontId="90" fillId="0" borderId="0" xfId="163" quotePrefix="1" applyFont="1" applyAlignment="1">
      <alignment horizontal="center"/>
    </xf>
    <xf numFmtId="0" fontId="8" fillId="0" borderId="0" xfId="252" applyFont="1" applyFill="1" applyAlignment="1" applyProtection="1">
      <alignment horizontal="left"/>
    </xf>
    <xf numFmtId="173" fontId="11" fillId="0" borderId="0" xfId="88" applyNumberFormat="1" applyFont="1" applyFill="1" applyProtection="1"/>
    <xf numFmtId="0" fontId="11" fillId="0" borderId="0" xfId="252" applyFont="1" applyFill="1" applyProtection="1"/>
    <xf numFmtId="0" fontId="11" fillId="0" borderId="0" xfId="182"/>
    <xf numFmtId="0" fontId="11" fillId="0" borderId="0" xfId="252" applyFont="1" applyFill="1" applyAlignment="1" applyProtection="1">
      <alignment horizontal="left"/>
    </xf>
    <xf numFmtId="173" fontId="7" fillId="30" borderId="0" xfId="88" applyNumberFormat="1" applyFont="1" applyFill="1" applyProtection="1">
      <protection locked="0"/>
    </xf>
    <xf numFmtId="0" fontId="11" fillId="0" borderId="0" xfId="182" applyProtection="1"/>
    <xf numFmtId="10" fontId="11" fillId="0" borderId="0" xfId="270" applyNumberFormat="1" applyFont="1" applyFill="1" applyBorder="1" applyProtection="1"/>
    <xf numFmtId="173" fontId="7" fillId="26" borderId="6" xfId="88" applyNumberFormat="1" applyFont="1" applyFill="1" applyBorder="1" applyAlignment="1" applyProtection="1">
      <protection locked="0"/>
    </xf>
    <xf numFmtId="10" fontId="8" fillId="0" borderId="0" xfId="270" applyNumberFormat="1" applyFont="1" applyFill="1" applyBorder="1" applyProtection="1"/>
    <xf numFmtId="0" fontId="8" fillId="0" borderId="0" xfId="252" applyFont="1" applyFill="1" applyProtection="1"/>
    <xf numFmtId="173" fontId="8" fillId="0" borderId="0" xfId="270" applyNumberFormat="1" applyFont="1" applyFill="1" applyBorder="1" applyProtection="1"/>
    <xf numFmtId="173" fontId="11" fillId="0" borderId="0" xfId="270" applyNumberFormat="1" applyFont="1" applyFill="1" applyBorder="1" applyProtection="1"/>
    <xf numFmtId="10" fontId="8" fillId="0" borderId="18" xfId="270" applyNumberFormat="1" applyFont="1" applyFill="1" applyBorder="1" applyProtection="1"/>
    <xf numFmtId="0" fontId="99" fillId="0" borderId="0" xfId="182" applyFont="1" applyAlignment="1" applyProtection="1">
      <alignment horizontal="center"/>
    </xf>
    <xf numFmtId="0" fontId="11" fillId="0" borderId="0" xfId="257" applyNumberFormat="1" applyFont="1" applyFill="1" applyBorder="1" applyAlignment="1" applyProtection="1">
      <alignment horizontal="center" vertical="center"/>
    </xf>
    <xf numFmtId="0" fontId="134" fillId="0" borderId="0" xfId="182" applyFont="1" applyProtection="1"/>
    <xf numFmtId="0" fontId="11" fillId="0" borderId="0" xfId="257" applyNumberFormat="1" applyFont="1" applyFill="1" applyBorder="1" applyAlignment="1" applyProtection="1">
      <alignment horizontal="center" vertical="top"/>
    </xf>
    <xf numFmtId="0" fontId="62" fillId="0" borderId="0" xfId="182" applyFont="1" applyAlignment="1" applyProtection="1">
      <alignment vertical="top" wrapText="1"/>
    </xf>
    <xf numFmtId="0" fontId="8" fillId="0" borderId="0" xfId="257" applyNumberFormat="1" applyFont="1" applyFill="1" applyBorder="1" applyAlignment="1" applyProtection="1">
      <alignment horizontal="center" vertical="center"/>
    </xf>
    <xf numFmtId="0" fontId="21" fillId="0" borderId="0" xfId="182" applyFont="1" applyAlignment="1" applyProtection="1"/>
    <xf numFmtId="41" fontId="8" fillId="0" borderId="0" xfId="252" applyNumberFormat="1" applyFont="1" applyFill="1" applyBorder="1" applyAlignment="1" applyProtection="1">
      <alignment horizontal="center" wrapText="1"/>
    </xf>
    <xf numFmtId="0" fontId="8" fillId="0" borderId="0" xfId="252" applyFont="1" applyFill="1" applyAlignment="1" applyProtection="1">
      <alignment horizontal="center" wrapText="1"/>
    </xf>
    <xf numFmtId="0" fontId="7" fillId="26" borderId="0" xfId="252" applyFont="1" applyFill="1" applyProtection="1">
      <protection locked="0"/>
    </xf>
    <xf numFmtId="173" fontId="135" fillId="26" borderId="0" xfId="88" applyNumberFormat="1" applyFont="1" applyFill="1" applyProtection="1">
      <protection locked="0"/>
    </xf>
    <xf numFmtId="197" fontId="11" fillId="0" borderId="0" xfId="259" applyNumberFormat="1" applyFont="1" applyFill="1" applyAlignment="1" applyProtection="1">
      <alignment horizontal="center"/>
      <protection locked="0"/>
    </xf>
    <xf numFmtId="37" fontId="7" fillId="26" borderId="0" xfId="252" applyNumberFormat="1" applyFont="1" applyFill="1" applyProtection="1">
      <protection locked="0"/>
    </xf>
    <xf numFmtId="0" fontId="135" fillId="26" borderId="0" xfId="252" applyFont="1" applyFill="1" applyProtection="1">
      <protection locked="0"/>
    </xf>
    <xf numFmtId="198" fontId="11" fillId="0" borderId="0" xfId="259" applyNumberFormat="1" applyFill="1" applyAlignment="1" applyProtection="1">
      <alignment horizontal="center"/>
      <protection locked="0"/>
    </xf>
    <xf numFmtId="14" fontId="11" fillId="0" borderId="0" xfId="259" applyNumberFormat="1" applyFill="1" applyAlignment="1" applyProtection="1">
      <alignment horizontal="center"/>
      <protection locked="0"/>
    </xf>
    <xf numFmtId="0" fontId="11" fillId="0" borderId="0" xfId="182" applyFont="1" applyProtection="1"/>
    <xf numFmtId="0" fontId="11" fillId="0" borderId="11" xfId="182" applyFont="1" applyBorder="1" applyProtection="1"/>
    <xf numFmtId="0" fontId="14" fillId="0" borderId="11" xfId="252" applyFont="1" applyFill="1" applyBorder="1" applyProtection="1"/>
    <xf numFmtId="0" fontId="11" fillId="0" borderId="0" xfId="182" applyFill="1"/>
    <xf numFmtId="0" fontId="8" fillId="0" borderId="2" xfId="252" applyFont="1" applyFill="1" applyBorder="1" applyAlignment="1" applyProtection="1">
      <alignment horizontal="left"/>
    </xf>
    <xf numFmtId="173" fontId="11" fillId="0" borderId="2" xfId="270" applyNumberFormat="1" applyFont="1" applyFill="1" applyBorder="1" applyProtection="1"/>
    <xf numFmtId="173" fontId="8" fillId="0" borderId="0" xfId="88" applyNumberFormat="1" applyFont="1" applyFill="1" applyBorder="1" applyProtection="1"/>
    <xf numFmtId="0" fontId="89" fillId="0" borderId="0" xfId="252" applyFont="1" applyFill="1" applyAlignment="1" applyProtection="1">
      <alignment horizontal="left"/>
    </xf>
    <xf numFmtId="0" fontId="11" fillId="0" borderId="0" xfId="257" applyNumberFormat="1" applyFont="1" applyFill="1" applyBorder="1" applyAlignment="1" applyProtection="1">
      <alignment horizontal="center" wrapText="1"/>
    </xf>
    <xf numFmtId="173" fontId="14" fillId="0" borderId="0" xfId="163" applyNumberFormat="1" applyFont="1" applyAlignment="1"/>
    <xf numFmtId="0" fontId="11" fillId="0" borderId="0" xfId="252" applyFont="1" applyFill="1" applyBorder="1" applyProtection="1"/>
    <xf numFmtId="0" fontId="14" fillId="0" borderId="2" xfId="163" applyNumberFormat="1" applyFont="1" applyBorder="1" applyAlignment="1"/>
    <xf numFmtId="0" fontId="31" fillId="0" borderId="0" xfId="0" applyFont="1" applyFill="1" applyAlignment="1" applyProtection="1">
      <alignment horizontal="center"/>
    </xf>
    <xf numFmtId="168" fontId="4" fillId="0" borderId="0" xfId="257" applyNumberFormat="1" applyFont="1" applyFill="1" applyAlignment="1" applyProtection="1"/>
    <xf numFmtId="188" fontId="4" fillId="0" borderId="0" xfId="257" applyNumberFormat="1" applyFont="1" applyFill="1" applyAlignment="1" applyProtection="1">
      <alignment horizontal="center"/>
    </xf>
    <xf numFmtId="41" fontId="4" fillId="0" borderId="11" xfId="257" applyNumberFormat="1" applyFont="1" applyFill="1" applyBorder="1" applyAlignment="1" applyProtection="1"/>
    <xf numFmtId="0" fontId="4" fillId="0" borderId="0" xfId="163" applyFont="1" applyFill="1" applyAlignment="1" applyProtection="1">
      <alignment horizontal="center"/>
    </xf>
    <xf numFmtId="0" fontId="62" fillId="0" borderId="0" xfId="163" applyFont="1" applyFill="1" applyProtection="1"/>
    <xf numFmtId="0" fontId="4" fillId="0" borderId="0" xfId="163" applyFont="1" applyFill="1" applyProtection="1"/>
    <xf numFmtId="0" fontId="11" fillId="0" borderId="0" xfId="163" applyFont="1" applyFill="1" applyProtection="1"/>
    <xf numFmtId="173" fontId="4" fillId="32" borderId="0" xfId="86" applyNumberFormat="1" applyFont="1" applyFill="1" applyAlignment="1" applyProtection="1">
      <alignment horizontal="right"/>
    </xf>
    <xf numFmtId="179" fontId="4" fillId="0" borderId="0" xfId="257" applyNumberFormat="1" applyFont="1" applyFill="1" applyAlignment="1" applyProtection="1">
      <alignment horizontal="center"/>
    </xf>
    <xf numFmtId="0" fontId="62" fillId="0" borderId="0" xfId="250" applyFont="1" applyFill="1" applyAlignment="1">
      <alignment horizontal="center"/>
    </xf>
    <xf numFmtId="37" fontId="11" fillId="0" borderId="0" xfId="163" applyNumberFormat="1" applyFont="1"/>
    <xf numFmtId="0" fontId="8" fillId="0" borderId="0" xfId="250" applyFont="1" applyFill="1" applyBorder="1"/>
    <xf numFmtId="0" fontId="11" fillId="0" borderId="0" xfId="163"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3" applyFont="1" applyFill="1" applyProtection="1"/>
    <xf numFmtId="0" fontId="11" fillId="0" borderId="0" xfId="263" applyFont="1" applyFill="1" applyProtection="1"/>
    <xf numFmtId="0" fontId="11" fillId="0" borderId="0" xfId="0" applyFont="1" applyFill="1" applyAlignment="1" applyProtection="1">
      <alignment vertical="top"/>
    </xf>
    <xf numFmtId="41" fontId="18" fillId="0" borderId="0" xfId="250" applyNumberFormat="1" applyFont="1" applyFill="1" applyBorder="1" applyProtection="1">
      <protection locked="0"/>
    </xf>
    <xf numFmtId="0" fontId="5" fillId="0" borderId="0" xfId="250" applyFont="1" applyFill="1" applyBorder="1"/>
    <xf numFmtId="0" fontId="17" fillId="0" borderId="0" xfId="258" applyNumberFormat="1" applyFont="1" applyFill="1" applyAlignment="1">
      <alignment horizontal="center"/>
    </xf>
    <xf numFmtId="0" fontId="17" fillId="0" borderId="0" xfId="258" applyNumberFormat="1" applyFont="1" applyFill="1"/>
    <xf numFmtId="0" fontId="72" fillId="0" borderId="0" xfId="258" applyFont="1" applyFill="1" applyAlignment="1">
      <alignment wrapText="1"/>
    </xf>
    <xf numFmtId="0" fontId="5" fillId="0" borderId="0" xfId="251" applyFont="1" applyFill="1" applyAlignment="1">
      <alignment horizontal="center"/>
    </xf>
    <xf numFmtId="0" fontId="5" fillId="0" borderId="0" xfId="251" applyFont="1" applyFill="1" applyBorder="1" applyAlignment="1">
      <alignment horizontal="center"/>
    </xf>
    <xf numFmtId="0" fontId="5" fillId="0" borderId="0" xfId="251" quotePrefix="1" applyFont="1" applyFill="1" applyBorder="1" applyAlignment="1">
      <alignment horizontal="center"/>
    </xf>
    <xf numFmtId="0" fontId="5" fillId="0" borderId="0" xfId="251" applyFont="1" applyFill="1" applyAlignment="1">
      <alignment horizontal="left" vertical="center" wrapText="1"/>
    </xf>
    <xf numFmtId="0" fontId="5" fillId="0" borderId="0" xfId="251" applyFont="1" applyFill="1" applyAlignment="1">
      <alignment horizontal="center" vertical="center" wrapText="1"/>
    </xf>
    <xf numFmtId="0" fontId="5" fillId="0" borderId="0" xfId="251" applyFont="1" applyFill="1" applyBorder="1" applyAlignment="1">
      <alignment horizontal="center" vertical="center" wrapText="1"/>
    </xf>
    <xf numFmtId="0" fontId="5" fillId="0" borderId="0" xfId="251" quotePrefix="1" applyFont="1" applyFill="1" applyBorder="1" applyAlignment="1">
      <alignment horizontal="center" vertical="center" wrapText="1"/>
    </xf>
    <xf numFmtId="0" fontId="11" fillId="0" borderId="0" xfId="258" applyNumberFormat="1" applyFont="1" applyFill="1" applyAlignment="1">
      <alignment horizontal="center"/>
    </xf>
    <xf numFmtId="185" fontId="11" fillId="0" borderId="0" xfId="258" applyNumberFormat="1" applyFont="1" applyFill="1"/>
    <xf numFmtId="0" fontId="11" fillId="0" borderId="0" xfId="253" applyFont="1" applyFill="1" applyAlignment="1" applyProtection="1">
      <alignment horizontal="left"/>
    </xf>
    <xf numFmtId="0" fontId="11" fillId="0" borderId="0" xfId="182" applyFont="1" applyFill="1" applyProtection="1"/>
    <xf numFmtId="0" fontId="4" fillId="32" borderId="0" xfId="257" applyNumberFormat="1" applyFont="1" applyFill="1" applyAlignment="1" applyProtection="1">
      <alignment vertical="top" wrapText="1"/>
    </xf>
    <xf numFmtId="0" fontId="137" fillId="0" borderId="0" xfId="0" applyFont="1" applyAlignment="1">
      <alignment vertical="center"/>
    </xf>
    <xf numFmtId="0" fontId="138" fillId="0" borderId="0" xfId="208" applyFont="1" applyProtection="1"/>
    <xf numFmtId="0" fontId="139" fillId="0" borderId="0" xfId="208" applyFont="1" applyBorder="1" applyAlignment="1" applyProtection="1">
      <alignment horizontal="center"/>
    </xf>
    <xf numFmtId="3" fontId="140" fillId="0" borderId="0" xfId="208" applyNumberFormat="1" applyFont="1" applyAlignment="1" applyProtection="1">
      <alignment horizontal="center"/>
    </xf>
    <xf numFmtId="0" fontId="138" fillId="0" borderId="0" xfId="0" applyFont="1" applyAlignment="1" applyProtection="1"/>
    <xf numFmtId="0" fontId="141" fillId="0" borderId="0" xfId="208" applyFont="1" applyProtection="1"/>
    <xf numFmtId="0" fontId="140" fillId="0" borderId="0" xfId="208" applyFont="1" applyAlignment="1" applyProtection="1">
      <alignment horizontal="center"/>
    </xf>
    <xf numFmtId="0" fontId="139" fillId="0" borderId="0" xfId="207" applyFont="1" applyFill="1" applyProtection="1"/>
    <xf numFmtId="0" fontId="140" fillId="0" borderId="0" xfId="208" applyFont="1" applyFill="1" applyBorder="1" applyAlignment="1" applyProtection="1">
      <alignment horizontal="center"/>
    </xf>
    <xf numFmtId="0" fontId="139" fillId="0" borderId="0" xfId="208" applyFont="1" applyProtection="1"/>
    <xf numFmtId="0" fontId="142" fillId="0" borderId="0" xfId="208" applyFont="1" applyBorder="1" applyAlignment="1" applyProtection="1">
      <alignment horizontal="left"/>
    </xf>
    <xf numFmtId="0" fontId="139" fillId="0" borderId="0" xfId="208" applyFont="1" applyBorder="1" applyAlignment="1" applyProtection="1"/>
    <xf numFmtId="0" fontId="139" fillId="0" borderId="0" xfId="208" applyFont="1" applyBorder="1" applyProtection="1"/>
    <xf numFmtId="0" fontId="142" fillId="0" borderId="0" xfId="208" applyFont="1" applyFill="1" applyBorder="1" applyProtection="1"/>
    <xf numFmtId="3" fontId="139" fillId="0" borderId="0" xfId="208" applyNumberFormat="1" applyFont="1" applyFill="1" applyBorder="1" applyAlignment="1" applyProtection="1"/>
    <xf numFmtId="1" fontId="143" fillId="0" borderId="0" xfId="208" applyNumberFormat="1" applyFont="1" applyFill="1" applyBorder="1" applyAlignment="1" applyProtection="1">
      <alignment horizontal="center"/>
    </xf>
    <xf numFmtId="172" fontId="139" fillId="0" borderId="0" xfId="256" applyFont="1" applyBorder="1" applyAlignment="1" applyProtection="1"/>
    <xf numFmtId="6" fontId="138" fillId="0" borderId="0" xfId="208" applyNumberFormat="1" applyFont="1" applyProtection="1"/>
    <xf numFmtId="170" fontId="139" fillId="0" borderId="0" xfId="256" applyNumberFormat="1" applyFont="1" applyFill="1" applyBorder="1" applyAlignment="1" applyProtection="1">
      <alignment horizontal="right"/>
    </xf>
    <xf numFmtId="170" fontId="139" fillId="0" borderId="0" xfId="256" applyNumberFormat="1" applyFont="1" applyBorder="1" applyAlignment="1" applyProtection="1">
      <alignment horizontal="right"/>
    </xf>
    <xf numFmtId="171" fontId="139" fillId="0" borderId="0" xfId="256" applyNumberFormat="1" applyFont="1" applyFill="1" applyBorder="1" applyAlignment="1" applyProtection="1"/>
    <xf numFmtId="0" fontId="144" fillId="0" borderId="0" xfId="208" applyFont="1" applyProtection="1"/>
    <xf numFmtId="3" fontId="143" fillId="30" borderId="0" xfId="111" applyNumberFormat="1" applyFont="1" applyFill="1" applyBorder="1" applyAlignment="1" applyProtection="1">
      <alignment horizontal="right"/>
      <protection locked="0"/>
    </xf>
    <xf numFmtId="170" fontId="139" fillId="0" borderId="0" xfId="25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56" applyFont="1" applyFill="1" applyBorder="1" applyAlignment="1" applyProtection="1"/>
    <xf numFmtId="0" fontId="139" fillId="0" borderId="6" xfId="208" applyFont="1" applyBorder="1" applyAlignment="1" applyProtection="1">
      <alignment horizontal="center"/>
    </xf>
    <xf numFmtId="0" fontId="139" fillId="0" borderId="6" xfId="0" applyFont="1" applyBorder="1" applyAlignment="1" applyProtection="1"/>
    <xf numFmtId="172" fontId="139" fillId="0" borderId="6" xfId="25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08" applyNumberFormat="1" applyFont="1" applyBorder="1" applyProtection="1"/>
    <xf numFmtId="0" fontId="138" fillId="0" borderId="0" xfId="208" applyFont="1" applyBorder="1" applyProtection="1"/>
    <xf numFmtId="0" fontId="4" fillId="0" borderId="0" xfId="257" applyNumberFormat="1" applyFont="1" applyFill="1" applyAlignment="1" applyProtection="1">
      <alignment horizontal="left" indent="2"/>
    </xf>
    <xf numFmtId="0" fontId="4" fillId="30" borderId="0" xfId="0" applyNumberFormat="1" applyFont="1" applyFill="1" applyAlignment="1" applyProtection="1">
      <alignment horizontal="center"/>
      <protection locked="0"/>
    </xf>
    <xf numFmtId="9" fontId="77" fillId="30" borderId="11" xfId="269" applyFont="1" applyFill="1" applyBorder="1" applyProtection="1">
      <protection locked="0"/>
    </xf>
    <xf numFmtId="0" fontId="11" fillId="34" borderId="30" xfId="0" applyNumberFormat="1" applyFont="1" applyFill="1" applyBorder="1" applyAlignment="1" applyProtection="1">
      <alignment horizontal="center"/>
    </xf>
    <xf numFmtId="173" fontId="150" fillId="30" borderId="20" xfId="88" applyNumberFormat="1" applyFont="1" applyFill="1" applyBorder="1" applyAlignment="1" applyProtection="1">
      <alignment horizontal="right"/>
      <protection locked="0"/>
    </xf>
    <xf numFmtId="0" fontId="7" fillId="30" borderId="20" xfId="163" applyFont="1" applyFill="1" applyBorder="1" applyAlignment="1" applyProtection="1">
      <alignment horizontal="right"/>
      <protection locked="0"/>
    </xf>
    <xf numFmtId="173" fontId="7" fillId="30" borderId="20" xfId="88" applyNumberFormat="1" applyFont="1" applyFill="1" applyBorder="1" applyAlignment="1" applyProtection="1">
      <alignment horizontal="right"/>
      <protection locked="0"/>
    </xf>
    <xf numFmtId="0" fontId="121" fillId="0" borderId="0" xfId="0" applyFont="1" applyFill="1" applyAlignment="1" applyProtection="1">
      <alignment horizontal="left" wrapText="1"/>
    </xf>
    <xf numFmtId="0" fontId="121" fillId="0" borderId="0" xfId="0" applyFont="1" applyFill="1" applyAlignment="1" applyProtection="1">
      <alignment wrapText="1"/>
    </xf>
    <xf numFmtId="41" fontId="4" fillId="0" borderId="11" xfId="257" applyNumberFormat="1" applyFont="1" applyBorder="1" applyAlignment="1" applyProtection="1"/>
    <xf numFmtId="0" fontId="4" fillId="0" borderId="0" xfId="0" applyFont="1" applyAlignment="1" applyProtection="1">
      <alignment wrapText="1"/>
    </xf>
    <xf numFmtId="0" fontId="2" fillId="0" borderId="0" xfId="260" applyFont="1" applyBorder="1" applyAlignment="1" applyProtection="1">
      <alignment horizontal="left"/>
    </xf>
    <xf numFmtId="194" fontId="2" fillId="0" borderId="0" xfId="260" applyNumberFormat="1" applyProtection="1"/>
    <xf numFmtId="10" fontId="2" fillId="0" borderId="0" xfId="260" applyNumberFormat="1" applyProtection="1"/>
    <xf numFmtId="192" fontId="2" fillId="0" borderId="0" xfId="260" applyNumberFormat="1" applyProtection="1"/>
    <xf numFmtId="0" fontId="2" fillId="0" borderId="0" xfId="260" applyFont="1" applyBorder="1" applyAlignment="1" applyProtection="1">
      <alignment wrapText="1"/>
    </xf>
    <xf numFmtId="0" fontId="0" fillId="0" borderId="0" xfId="0" applyBorder="1" applyAlignment="1" applyProtection="1">
      <alignment wrapText="1"/>
    </xf>
    <xf numFmtId="0" fontId="105" fillId="0" borderId="35" xfId="260" applyFont="1" applyBorder="1" applyProtection="1"/>
    <xf numFmtId="0" fontId="81" fillId="0" borderId="2" xfId="260" applyFont="1" applyBorder="1" applyAlignment="1" applyProtection="1">
      <alignment horizontal="center"/>
    </xf>
    <xf numFmtId="0" fontId="81" fillId="0" borderId="36" xfId="260" applyFont="1" applyBorder="1" applyAlignment="1" applyProtection="1">
      <alignment horizontal="center"/>
    </xf>
    <xf numFmtId="0" fontId="2" fillId="0" borderId="37" xfId="260" applyFont="1" applyBorder="1" applyProtection="1"/>
    <xf numFmtId="3" fontId="2" fillId="0" borderId="0" xfId="260" applyNumberFormat="1" applyBorder="1" applyProtection="1"/>
    <xf numFmtId="3" fontId="2" fillId="0" borderId="38" xfId="260" applyNumberFormat="1" applyBorder="1" applyProtection="1"/>
    <xf numFmtId="0" fontId="4" fillId="0" borderId="37" xfId="260" applyFont="1" applyBorder="1" applyProtection="1"/>
    <xf numFmtId="0" fontId="2" fillId="0" borderId="40" xfId="260" applyFont="1" applyBorder="1" applyProtection="1"/>
    <xf numFmtId="0" fontId="11" fillId="32" borderId="30" xfId="0" applyNumberFormat="1" applyFont="1" applyFill="1" applyBorder="1" applyAlignment="1" applyProtection="1">
      <alignment horizontal="center"/>
    </xf>
    <xf numFmtId="174" fontId="150" fillId="30" borderId="30" xfId="0" applyNumberFormat="1" applyFont="1" applyFill="1" applyBorder="1" applyProtection="1">
      <protection locked="0"/>
    </xf>
    <xf numFmtId="174" fontId="150" fillId="30" borderId="29" xfId="0" applyNumberFormat="1" applyFont="1" applyFill="1" applyBorder="1" applyProtection="1">
      <protection locked="0"/>
    </xf>
    <xf numFmtId="0" fontId="121" fillId="0" borderId="0" xfId="0" applyNumberFormat="1" applyFont="1" applyFill="1" applyAlignment="1" applyProtection="1">
      <alignment horizontal="center"/>
    </xf>
    <xf numFmtId="176" fontId="121" fillId="32" borderId="0" xfId="270" applyNumberFormat="1" applyFont="1" applyFill="1" applyProtection="1">
      <protection locked="0"/>
    </xf>
    <xf numFmtId="0" fontId="150" fillId="30" borderId="20" xfId="86" applyNumberFormat="1" applyFont="1" applyFill="1" applyBorder="1" applyAlignment="1" applyProtection="1">
      <alignment horizontal="right"/>
      <protection locked="0"/>
    </xf>
    <xf numFmtId="41" fontId="7" fillId="30" borderId="0" xfId="250" applyNumberFormat="1" applyFont="1" applyFill="1" applyProtection="1">
      <protection locked="0"/>
    </xf>
    <xf numFmtId="10" fontId="4" fillId="0" borderId="0" xfId="270" applyNumberFormat="1" applyFont="1" applyFill="1" applyAlignment="1" applyProtection="1"/>
    <xf numFmtId="173" fontId="11" fillId="34" borderId="0" xfId="0" applyNumberFormat="1" applyFont="1" applyFill="1" applyBorder="1" applyProtection="1"/>
    <xf numFmtId="173" fontId="11" fillId="32" borderId="0" xfId="0" applyNumberFormat="1" applyFont="1" applyFill="1" applyBorder="1" applyProtection="1"/>
    <xf numFmtId="173" fontId="11" fillId="0" borderId="22" xfId="0" applyNumberFormat="1" applyFont="1" applyBorder="1" applyProtection="1"/>
    <xf numFmtId="0" fontId="7" fillId="30" borderId="20" xfId="0" applyFont="1" applyFill="1" applyBorder="1" applyAlignment="1" applyProtection="1">
      <alignment horizontal="right"/>
      <protection locked="0"/>
    </xf>
    <xf numFmtId="173" fontId="7" fillId="30" borderId="20" xfId="86" applyNumberFormat="1" applyFont="1" applyFill="1" applyBorder="1" applyAlignment="1" applyProtection="1">
      <alignment horizontal="right"/>
      <protection locked="0"/>
    </xf>
    <xf numFmtId="171" fontId="139" fillId="34" borderId="0" xfId="256" applyNumberFormat="1" applyFont="1" applyFill="1" applyBorder="1" applyAlignment="1" applyProtection="1">
      <protection locked="0"/>
    </xf>
    <xf numFmtId="193" fontId="11" fillId="30" borderId="0" xfId="0" applyNumberFormat="1" applyFont="1" applyFill="1" applyAlignment="1" applyProtection="1">
      <alignment horizontal="left"/>
      <protection locked="0"/>
    </xf>
    <xf numFmtId="3" fontId="7" fillId="30" borderId="0" xfId="0" applyNumberFormat="1" applyFont="1" applyFill="1" applyAlignment="1" applyProtection="1">
      <protection locked="0"/>
    </xf>
    <xf numFmtId="173" fontId="11" fillId="0" borderId="0" xfId="88" applyNumberFormat="1" applyProtection="1"/>
    <xf numFmtId="173" fontId="11" fillId="0" borderId="0" xfId="88" applyNumberFormat="1" applyFill="1" applyProtection="1"/>
    <xf numFmtId="3" fontId="11" fillId="30" borderId="0" xfId="0" applyNumberFormat="1" applyFont="1" applyFill="1" applyProtection="1">
      <protection locked="0"/>
    </xf>
    <xf numFmtId="3" fontId="7" fillId="30" borderId="0" xfId="0" applyNumberFormat="1" applyFont="1" applyFill="1" applyProtection="1">
      <protection locked="0"/>
    </xf>
    <xf numFmtId="3" fontId="11" fillId="30" borderId="0" xfId="0" quotePrefix="1" applyNumberFormat="1" applyFont="1" applyFill="1" applyProtection="1">
      <protection locked="0"/>
    </xf>
    <xf numFmtId="0" fontId="62" fillId="26" borderId="0" xfId="163" applyFont="1" applyFill="1" applyAlignment="1" applyProtection="1">
      <alignment horizontal="left"/>
      <protection locked="0"/>
    </xf>
    <xf numFmtId="3" fontId="124" fillId="26" borderId="0" xfId="163" applyNumberFormat="1" applyFont="1" applyFill="1" applyProtection="1">
      <protection locked="0"/>
    </xf>
    <xf numFmtId="37" fontId="7" fillId="26" borderId="0" xfId="163" applyNumberFormat="1" applyFont="1" applyFill="1" applyProtection="1">
      <protection locked="0"/>
    </xf>
    <xf numFmtId="0" fontId="17" fillId="0" borderId="0" xfId="258" applyFont="1" applyAlignment="1">
      <alignment horizontal="center"/>
    </xf>
    <xf numFmtId="41" fontId="7" fillId="0" borderId="0" xfId="251" applyNumberFormat="1" applyFont="1" applyFill="1" applyProtection="1">
      <protection locked="0"/>
    </xf>
    <xf numFmtId="0" fontId="23" fillId="0" borderId="0" xfId="211" applyFont="1"/>
    <xf numFmtId="0" fontId="23" fillId="0" borderId="0" xfId="211" applyFont="1" applyAlignment="1">
      <alignment horizontal="center"/>
    </xf>
    <xf numFmtId="0" fontId="11" fillId="0" borderId="0" xfId="211" applyFont="1" applyAlignment="1">
      <alignment horizontal="right"/>
    </xf>
    <xf numFmtId="14" fontId="23" fillId="0" borderId="0" xfId="211" applyNumberFormat="1" applyFont="1"/>
    <xf numFmtId="0" fontId="23" fillId="0" borderId="0" xfId="163" applyFont="1"/>
    <xf numFmtId="9" fontId="23" fillId="0" borderId="0" xfId="269" applyFont="1"/>
    <xf numFmtId="41" fontId="23" fillId="0" borderId="0" xfId="211" applyNumberFormat="1" applyFont="1"/>
    <xf numFmtId="10" fontId="23" fillId="0" borderId="0" xfId="271" applyNumberFormat="1" applyFont="1"/>
    <xf numFmtId="0" fontId="23" fillId="0" borderId="0" xfId="0" applyFont="1" applyAlignment="1"/>
    <xf numFmtId="0" fontId="23" fillId="0" borderId="11" xfId="211" applyFont="1" applyBorder="1"/>
    <xf numFmtId="0" fontId="24" fillId="0" borderId="11" xfId="211" applyFont="1" applyBorder="1" applyAlignment="1">
      <alignment horizontal="center"/>
    </xf>
    <xf numFmtId="0" fontId="24" fillId="0" borderId="11" xfId="211" applyFont="1" applyBorder="1" applyAlignment="1">
      <alignment horizontal="center" wrapText="1"/>
    </xf>
    <xf numFmtId="0" fontId="24" fillId="0" borderId="13" xfId="211" applyFont="1" applyBorder="1" applyAlignment="1">
      <alignment horizontal="center" wrapText="1"/>
    </xf>
    <xf numFmtId="0" fontId="24" fillId="0" borderId="11" xfId="211" applyFont="1" applyFill="1" applyBorder="1" applyAlignment="1">
      <alignment horizontal="center" wrapText="1"/>
    </xf>
    <xf numFmtId="0" fontId="24" fillId="0" borderId="0" xfId="211" applyFont="1" applyAlignment="1">
      <alignment horizontal="center"/>
    </xf>
    <xf numFmtId="0" fontId="24" fillId="0" borderId="0" xfId="211" applyFont="1" applyBorder="1" applyAlignment="1">
      <alignment horizontal="center" wrapText="1"/>
    </xf>
    <xf numFmtId="0" fontId="24" fillId="0" borderId="0" xfId="211" applyFont="1" applyFill="1" applyBorder="1" applyAlignment="1">
      <alignment horizontal="center" wrapText="1"/>
    </xf>
    <xf numFmtId="0" fontId="24" fillId="0" borderId="0" xfId="211" applyFont="1" applyAlignment="1">
      <alignment horizontal="left"/>
    </xf>
    <xf numFmtId="0" fontId="23" fillId="35" borderId="0" xfId="211" applyFont="1" applyFill="1"/>
    <xf numFmtId="49" fontId="23" fillId="0" borderId="0" xfId="211" applyNumberFormat="1" applyFont="1" applyFill="1" applyAlignment="1">
      <alignment horizontal="center"/>
    </xf>
    <xf numFmtId="0" fontId="23" fillId="0" borderId="0" xfId="211" applyFont="1" applyBorder="1"/>
    <xf numFmtId="0" fontId="23" fillId="0" borderId="0" xfId="211" applyFont="1" applyFill="1" applyBorder="1" applyAlignment="1">
      <alignment horizontal="center"/>
    </xf>
    <xf numFmtId="41" fontId="23" fillId="30" borderId="12" xfId="251" applyNumberFormat="1" applyFont="1" applyFill="1" applyBorder="1" applyProtection="1">
      <protection locked="0"/>
    </xf>
    <xf numFmtId="173" fontId="23" fillId="36" borderId="12" xfId="112" applyNumberFormat="1" applyFont="1" applyFill="1" applyBorder="1"/>
    <xf numFmtId="173" fontId="23" fillId="0" borderId="47" xfId="112" applyNumberFormat="1" applyFont="1" applyFill="1" applyBorder="1"/>
    <xf numFmtId="173" fontId="23" fillId="0" borderId="12" xfId="112" applyNumberFormat="1" applyFont="1" applyFill="1" applyBorder="1"/>
    <xf numFmtId="41" fontId="23" fillId="30" borderId="0" xfId="251" applyNumberFormat="1" applyFont="1" applyFill="1" applyBorder="1" applyProtection="1">
      <protection locked="0"/>
    </xf>
    <xf numFmtId="41" fontId="23" fillId="0" borderId="0" xfId="211" applyNumberFormat="1" applyFont="1" applyBorder="1" applyAlignment="1">
      <alignment horizontal="center"/>
    </xf>
    <xf numFmtId="0" fontId="24" fillId="0" borderId="0" xfId="211" applyFont="1" applyBorder="1"/>
    <xf numFmtId="173" fontId="23" fillId="36" borderId="47" xfId="112" applyNumberFormat="1" applyFont="1" applyFill="1" applyBorder="1"/>
    <xf numFmtId="41" fontId="23" fillId="0" borderId="12" xfId="163" applyNumberFormat="1" applyFont="1" applyFill="1" applyBorder="1"/>
    <xf numFmtId="41" fontId="23" fillId="30" borderId="37" xfId="25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1" applyNumberFormat="1" applyFont="1" applyAlignment="1">
      <alignment horizontal="center"/>
    </xf>
    <xf numFmtId="0" fontId="24" fillId="0" borderId="0" xfId="211" applyFont="1"/>
    <xf numFmtId="41" fontId="23" fillId="30" borderId="37" xfId="251" applyNumberFormat="1" applyFont="1" applyFill="1" applyBorder="1" applyAlignment="1" applyProtection="1">
      <alignment vertical="top"/>
      <protection locked="0"/>
    </xf>
    <xf numFmtId="0" fontId="0" fillId="0" borderId="0" xfId="0" applyFont="1"/>
    <xf numFmtId="0" fontId="23" fillId="0" borderId="0" xfId="163" applyFont="1" applyFill="1"/>
    <xf numFmtId="0" fontId="23" fillId="0" borderId="0" xfId="163" applyFont="1" applyFill="1" applyBorder="1"/>
    <xf numFmtId="0" fontId="23" fillId="0" borderId="0" xfId="211" applyFont="1" applyFill="1" applyAlignment="1">
      <alignment horizontal="center"/>
    </xf>
    <xf numFmtId="0" fontId="23" fillId="0" borderId="0" xfId="211" applyFont="1" applyAlignment="1">
      <alignment wrapText="1"/>
    </xf>
    <xf numFmtId="173" fontId="23" fillId="36" borderId="0" xfId="112" applyNumberFormat="1" applyFont="1" applyFill="1" applyBorder="1"/>
    <xf numFmtId="41" fontId="23" fillId="30" borderId="48" xfId="251" applyNumberFormat="1" applyFont="1" applyFill="1" applyBorder="1" applyProtection="1">
      <protection locked="0"/>
    </xf>
    <xf numFmtId="173" fontId="23" fillId="0" borderId="0" xfId="112" applyNumberFormat="1" applyFont="1" applyFill="1" applyBorder="1"/>
    <xf numFmtId="173" fontId="23" fillId="0" borderId="0" xfId="112" applyNumberFormat="1" applyFont="1" applyBorder="1" applyAlignment="1">
      <alignment wrapText="1"/>
    </xf>
    <xf numFmtId="0" fontId="23" fillId="0" borderId="0" xfId="211"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2"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1" applyFont="1" applyAlignment="1">
      <alignment horizontal="left" vertical="center"/>
    </xf>
    <xf numFmtId="0" fontId="23" fillId="0" borderId="0" xfId="211" applyFont="1" applyAlignment="1">
      <alignment vertical="top" wrapText="1"/>
    </xf>
    <xf numFmtId="0" fontId="23" fillId="0" borderId="0" xfId="211" applyFont="1" applyAlignment="1"/>
    <xf numFmtId="173" fontId="23" fillId="0" borderId="0" xfId="211" applyNumberFormat="1" applyFont="1"/>
    <xf numFmtId="0" fontId="23" fillId="0" borderId="0" xfId="211" applyFont="1" applyAlignment="1">
      <alignment vertical="top"/>
    </xf>
    <xf numFmtId="0" fontId="23" fillId="0" borderId="0" xfId="211" applyFont="1" applyFill="1" applyAlignment="1">
      <alignment vertical="top" wrapText="1"/>
    </xf>
    <xf numFmtId="0" fontId="23" fillId="0" borderId="0" xfId="211" applyFont="1" applyFill="1"/>
    <xf numFmtId="0" fontId="23" fillId="0" borderId="0" xfId="211" applyFont="1" applyFill="1" applyAlignment="1">
      <alignment horizontal="left"/>
    </xf>
    <xf numFmtId="0" fontId="24" fillId="0" borderId="0" xfId="211" applyFont="1" applyAlignment="1">
      <alignment horizontal="left" vertical="center"/>
    </xf>
    <xf numFmtId="173" fontId="23" fillId="0" borderId="0" xfId="211" applyNumberFormat="1" applyFont="1" applyAlignment="1">
      <alignment horizontal="left" vertical="center"/>
    </xf>
    <xf numFmtId="173" fontId="11" fillId="0" borderId="0" xfId="0" applyNumberFormat="1" applyFont="1" applyFill="1" applyBorder="1" applyProtection="1"/>
    <xf numFmtId="0" fontId="150" fillId="30" borderId="20" xfId="88" applyNumberFormat="1" applyFont="1" applyFill="1" applyBorder="1" applyAlignment="1" applyProtection="1">
      <alignment horizontal="right"/>
      <protection locked="0"/>
    </xf>
    <xf numFmtId="0" fontId="2" fillId="0" borderId="0" xfId="260" applyFont="1" applyFill="1" applyBorder="1" applyProtection="1"/>
    <xf numFmtId="194" fontId="2" fillId="0" borderId="0" xfId="260" applyNumberFormat="1" applyFill="1" applyProtection="1"/>
    <xf numFmtId="10" fontId="2" fillId="0" borderId="0" xfId="260" applyNumberFormat="1" applyFill="1" applyBorder="1" applyProtection="1"/>
    <xf numFmtId="10" fontId="2" fillId="0" borderId="11" xfId="270" applyNumberFormat="1" applyFont="1" applyBorder="1" applyAlignment="1" applyProtection="1">
      <alignment horizontal="center"/>
    </xf>
    <xf numFmtId="10" fontId="76" fillId="0" borderId="39" xfId="270" applyNumberFormat="1" applyFont="1" applyBorder="1" applyAlignment="1" applyProtection="1">
      <alignment horizontal="center"/>
    </xf>
    <xf numFmtId="10" fontId="2" fillId="0" borderId="0" xfId="270" applyNumberFormat="1" applyFont="1" applyBorder="1" applyAlignment="1" applyProtection="1">
      <alignment horizontal="center"/>
    </xf>
    <xf numFmtId="41" fontId="7" fillId="33" borderId="0" xfId="25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11" fillId="0" borderId="0" xfId="225" applyNumberFormat="1" applyFont="1"/>
    <xf numFmtId="0" fontId="11" fillId="0" borderId="0" xfId="225" applyFont="1"/>
    <xf numFmtId="0" fontId="4" fillId="0" borderId="0" xfId="225" applyFont="1" applyAlignment="1">
      <alignment horizontal="right"/>
    </xf>
    <xf numFmtId="0" fontId="23" fillId="0" borderId="0" xfId="211" applyFont="1" applyAlignment="1">
      <alignment horizontal="right"/>
    </xf>
    <xf numFmtId="173" fontId="11" fillId="0" borderId="0" xfId="102" applyNumberFormat="1" applyFont="1"/>
    <xf numFmtId="0" fontId="11" fillId="0" borderId="0" xfId="211" applyFont="1"/>
    <xf numFmtId="41" fontId="8" fillId="0" borderId="0" xfId="251" applyNumberFormat="1" applyFont="1" applyFill="1" applyBorder="1" applyAlignment="1" applyProtection="1">
      <alignment horizontal="center"/>
      <protection locked="0"/>
    </xf>
    <xf numFmtId="41" fontId="11" fillId="0" borderId="0" xfId="251" applyNumberFormat="1" applyFont="1" applyFill="1" applyBorder="1" applyAlignment="1" applyProtection="1">
      <protection locked="0"/>
    </xf>
    <xf numFmtId="1" fontId="11" fillId="0" borderId="0" xfId="225" applyNumberFormat="1" applyFont="1"/>
    <xf numFmtId="1" fontId="11" fillId="0" borderId="0" xfId="225" applyNumberFormat="1" applyFont="1" applyAlignment="1">
      <alignment horizontal="center"/>
    </xf>
    <xf numFmtId="0" fontId="11" fillId="0" borderId="0" xfId="225" applyFont="1" applyAlignment="1">
      <alignment horizontal="center"/>
    </xf>
    <xf numFmtId="0" fontId="11" fillId="0" borderId="0" xfId="225" applyFont="1" applyAlignment="1">
      <alignment horizontal="center" wrapText="1"/>
    </xf>
    <xf numFmtId="0" fontId="11" fillId="0" borderId="0" xfId="225" applyFont="1" applyAlignment="1">
      <alignment wrapText="1"/>
    </xf>
    <xf numFmtId="2" fontId="11" fillId="0" borderId="0" xfId="225" applyNumberFormat="1" applyFont="1"/>
    <xf numFmtId="0" fontId="11" fillId="0" borderId="0" xfId="182" applyFont="1" applyFill="1" applyAlignment="1">
      <alignment horizontal="center" wrapText="1"/>
    </xf>
    <xf numFmtId="0" fontId="11" fillId="0" borderId="0" xfId="182" applyFont="1" applyFill="1"/>
    <xf numFmtId="0" fontId="11" fillId="0" borderId="0" xfId="225" applyFont="1" applyFill="1" applyAlignment="1">
      <alignment horizontal="center" wrapText="1"/>
    </xf>
    <xf numFmtId="0" fontId="11" fillId="0" borderId="0" xfId="225"/>
    <xf numFmtId="49" fontId="11" fillId="0" borderId="0" xfId="225" applyNumberFormat="1" applyFont="1" applyAlignment="1">
      <alignment horizontal="center"/>
    </xf>
    <xf numFmtId="49" fontId="11" fillId="0" borderId="0" xfId="102" applyNumberFormat="1" applyFont="1"/>
    <xf numFmtId="173" fontId="11" fillId="0" borderId="0" xfId="102" applyNumberFormat="1" applyFont="1" applyFill="1"/>
    <xf numFmtId="10" fontId="0" fillId="0" borderId="0" xfId="283" applyNumberFormat="1" applyFont="1" applyFill="1"/>
    <xf numFmtId="9" fontId="0" fillId="0" borderId="0" xfId="283" applyNumberFormat="1" applyFont="1" applyFill="1"/>
    <xf numFmtId="9" fontId="11" fillId="0" borderId="0" xfId="283" applyFont="1" applyFill="1"/>
    <xf numFmtId="9" fontId="0" fillId="0" borderId="0" xfId="283" applyFont="1" applyFill="1"/>
    <xf numFmtId="9" fontId="11" fillId="0" borderId="0" xfId="288" applyFont="1"/>
    <xf numFmtId="0" fontId="11" fillId="0" borderId="0" xfId="225" applyFont="1" applyFill="1"/>
    <xf numFmtId="199" fontId="0" fillId="0" borderId="0" xfId="102" applyNumberFormat="1" applyFont="1" applyFill="1"/>
    <xf numFmtId="0" fontId="11" fillId="0" borderId="0" xfId="225" applyFill="1"/>
    <xf numFmtId="173" fontId="11" fillId="0" borderId="11" xfId="102" applyNumberFormat="1" applyFont="1" applyBorder="1"/>
    <xf numFmtId="9" fontId="0" fillId="0" borderId="0" xfId="283" applyFont="1" applyFill="1" applyAlignment="1">
      <alignment horizontal="center"/>
    </xf>
    <xf numFmtId="173" fontId="11" fillId="0" borderId="13" xfId="102" applyNumberFormat="1" applyFont="1" applyBorder="1"/>
    <xf numFmtId="173" fontId="11" fillId="0" borderId="0" xfId="102" applyNumberFormat="1" applyFont="1" applyBorder="1"/>
    <xf numFmtId="9" fontId="11" fillId="0" borderId="0" xfId="283" applyFont="1"/>
    <xf numFmtId="0" fontId="2" fillId="0" borderId="0" xfId="225" applyFont="1"/>
    <xf numFmtId="0" fontId="14" fillId="0" borderId="0" xfId="225" applyFont="1"/>
    <xf numFmtId="0" fontId="14" fillId="0" borderId="0" xfId="225" applyFont="1" applyAlignment="1">
      <alignment vertical="top"/>
    </xf>
    <xf numFmtId="0" fontId="11" fillId="0" borderId="0" xfId="225" applyFont="1" applyAlignment="1">
      <alignment vertical="center"/>
    </xf>
    <xf numFmtId="0" fontId="11" fillId="0" borderId="0" xfId="225" applyFont="1" applyAlignment="1"/>
    <xf numFmtId="170" fontId="143" fillId="30" borderId="0" xfId="256" applyNumberFormat="1" applyFont="1" applyFill="1" applyAlignment="1" applyProtection="1">
      <alignment horizontal="right"/>
      <protection locked="0"/>
    </xf>
    <xf numFmtId="3" fontId="1" fillId="30" borderId="0" xfId="0" quotePrefix="1" applyNumberFormat="1" applyFont="1" applyFill="1" applyProtection="1">
      <protection locked="0"/>
    </xf>
    <xf numFmtId="3" fontId="4" fillId="30" borderId="0" xfId="0" quotePrefix="1" applyNumberFormat="1" applyFont="1" applyFill="1" applyAlignment="1" applyProtection="1">
      <alignment horizontal="center"/>
      <protection locked="0"/>
    </xf>
    <xf numFmtId="3" fontId="1" fillId="0" borderId="0" xfId="0" applyNumberFormat="1" applyFont="1" applyFill="1"/>
    <xf numFmtId="173" fontId="77" fillId="0" borderId="0" xfId="258" applyNumberFormat="1" applyFont="1" applyFill="1" applyBorder="1" applyProtection="1">
      <protection locked="0"/>
    </xf>
    <xf numFmtId="173" fontId="77" fillId="0" borderId="11" xfId="258" applyNumberFormat="1" applyFont="1" applyFill="1" applyBorder="1" applyProtection="1">
      <protection locked="0"/>
    </xf>
    <xf numFmtId="3" fontId="107" fillId="31" borderId="0" xfId="257" applyNumberFormat="1" applyFont="1" applyFill="1" applyAlignment="1" applyProtection="1">
      <alignment horizontal="center"/>
    </xf>
    <xf numFmtId="3" fontId="9" fillId="0" borderId="0" xfId="25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32" borderId="0" xfId="257" applyNumberFormat="1" applyFont="1" applyFill="1" applyAlignment="1" applyProtection="1">
      <alignment horizontal="left" vertical="top" wrapText="1"/>
    </xf>
    <xf numFmtId="172" fontId="76" fillId="0" borderId="0" xfId="257" applyFont="1" applyAlignment="1" applyProtection="1">
      <alignment horizontal="left" wrapText="1"/>
    </xf>
    <xf numFmtId="49" fontId="4" fillId="0" borderId="0" xfId="257" applyNumberFormat="1" applyFont="1" applyAlignment="1" applyProtection="1">
      <alignment horizontal="center"/>
    </xf>
    <xf numFmtId="0" fontId="31" fillId="0" borderId="0" xfId="0" applyFont="1" applyAlignment="1" applyProtection="1">
      <alignment horizontal="center"/>
    </xf>
    <xf numFmtId="0" fontId="9" fillId="0" borderId="0" xfId="25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7"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57" applyFont="1" applyAlignment="1" applyProtection="1">
      <alignment horizontal="left" wrapText="1"/>
    </xf>
    <xf numFmtId="0" fontId="4" fillId="0" borderId="0" xfId="257" applyNumberFormat="1" applyFont="1" applyFill="1" applyAlignment="1" applyProtection="1">
      <alignment vertical="top" wrapText="1"/>
    </xf>
    <xf numFmtId="0" fontId="11" fillId="0" borderId="0" xfId="0" applyFont="1" applyFill="1" applyProtection="1"/>
    <xf numFmtId="0" fontId="25" fillId="0" borderId="0" xfId="257" applyNumberFormat="1" applyFont="1" applyFill="1" applyAlignment="1" applyProtection="1">
      <alignment horizontal="left" wrapText="1"/>
    </xf>
    <xf numFmtId="172" fontId="4" fillId="0" borderId="0" xfId="25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7" applyFont="1" applyFill="1" applyAlignment="1" applyProtection="1">
      <alignment vertical="top" wrapText="1"/>
    </xf>
    <xf numFmtId="0" fontId="25" fillId="0" borderId="0" xfId="0" applyFont="1" applyAlignment="1" applyProtection="1">
      <alignment vertical="top" wrapText="1"/>
    </xf>
    <xf numFmtId="172" fontId="25" fillId="0" borderId="0" xfId="257" applyFont="1" applyFill="1" applyAlignment="1" applyProtection="1">
      <alignment wrapText="1"/>
    </xf>
    <xf numFmtId="172" fontId="4" fillId="0" borderId="0" xfId="257" applyFont="1" applyFill="1" applyAlignment="1" applyProtection="1">
      <alignment vertical="top" wrapText="1"/>
    </xf>
    <xf numFmtId="172" fontId="106" fillId="0" borderId="0" xfId="257" applyFont="1" applyFill="1" applyAlignment="1" applyProtection="1">
      <alignment wrapText="1"/>
    </xf>
    <xf numFmtId="0" fontId="31" fillId="0" borderId="0" xfId="0" applyFont="1" applyAlignment="1" applyProtection="1">
      <alignment wrapText="1"/>
    </xf>
    <xf numFmtId="0" fontId="4" fillId="0" borderId="0" xfId="257" applyNumberFormat="1" applyFont="1" applyFill="1" applyAlignment="1" applyProtection="1">
      <alignment wrapText="1"/>
    </xf>
    <xf numFmtId="0" fontId="4" fillId="0" borderId="0" xfId="0" applyFont="1" applyAlignment="1" applyProtection="1">
      <alignment horizontal="center"/>
    </xf>
    <xf numFmtId="0" fontId="4" fillId="0" borderId="0" xfId="208" applyFont="1" applyBorder="1" applyAlignment="1">
      <alignment horizontal="center"/>
    </xf>
    <xf numFmtId="0" fontId="8" fillId="0" borderId="47" xfId="261" applyFont="1" applyBorder="1" applyAlignment="1">
      <alignment horizontal="center" wrapText="1"/>
    </xf>
    <xf numFmtId="0" fontId="8" fillId="0" borderId="13" xfId="261" applyFont="1" applyBorder="1" applyAlignment="1">
      <alignment horizontal="center" wrapText="1"/>
    </xf>
    <xf numFmtId="0" fontId="8" fillId="0" borderId="48" xfId="26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8" applyNumberFormat="1" applyFont="1" applyBorder="1" applyAlignment="1">
      <alignment horizontal="center"/>
    </xf>
    <xf numFmtId="0" fontId="4" fillId="0" borderId="0" xfId="0" applyFont="1" applyAlignment="1">
      <alignment horizontal="center"/>
    </xf>
    <xf numFmtId="0" fontId="39" fillId="0" borderId="0" xfId="25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8" quotePrefix="1" applyFont="1" applyBorder="1" applyAlignment="1">
      <alignment horizontal="center" wrapText="1"/>
    </xf>
    <xf numFmtId="41" fontId="23" fillId="30" borderId="37" xfId="251" applyNumberFormat="1" applyFont="1" applyFill="1" applyBorder="1" applyAlignment="1" applyProtection="1">
      <alignment horizontal="left" vertical="center" wrapText="1"/>
      <protection locked="0"/>
    </xf>
    <xf numFmtId="0" fontId="23" fillId="0" borderId="0" xfId="211" applyFont="1" applyAlignment="1">
      <alignment horizontal="center" wrapText="1"/>
    </xf>
    <xf numFmtId="0" fontId="23" fillId="0" borderId="0" xfId="211" applyFont="1" applyAlignment="1">
      <alignment horizontal="left" vertical="top" wrapText="1"/>
    </xf>
    <xf numFmtId="0" fontId="23" fillId="0" borderId="0" xfId="211" applyFont="1" applyFill="1" applyAlignment="1">
      <alignment horizontal="left" vertical="top" wrapText="1"/>
    </xf>
    <xf numFmtId="0" fontId="23" fillId="0" borderId="11" xfId="211" applyFont="1" applyBorder="1" applyAlignment="1">
      <alignment horizontal="center"/>
    </xf>
    <xf numFmtId="0" fontId="23" fillId="0" borderId="11" xfId="0" applyFont="1" applyBorder="1" applyAlignment="1">
      <alignment horizontal="center"/>
    </xf>
    <xf numFmtId="0" fontId="23" fillId="0" borderId="11" xfId="211" applyFont="1" applyBorder="1" applyAlignment="1">
      <alignment horizontal="center" wrapText="1"/>
    </xf>
    <xf numFmtId="0" fontId="24" fillId="0" borderId="2" xfId="211" applyFont="1" applyBorder="1" applyAlignment="1">
      <alignment horizontal="center" wrapText="1"/>
    </xf>
    <xf numFmtId="2" fontId="11" fillId="0" borderId="0" xfId="225" applyNumberFormat="1" applyFont="1" applyAlignment="1">
      <alignment horizontal="left" wrapText="1"/>
    </xf>
    <xf numFmtId="41" fontId="8" fillId="0" borderId="0" xfId="251" applyNumberFormat="1" applyFont="1" applyFill="1" applyBorder="1" applyAlignment="1" applyProtection="1">
      <alignment horizontal="center"/>
      <protection locked="0"/>
    </xf>
    <xf numFmtId="0" fontId="11" fillId="0" borderId="0" xfId="225" applyFont="1" applyAlignment="1">
      <alignment horizontal="center" wrapText="1"/>
    </xf>
    <xf numFmtId="0" fontId="11" fillId="0" borderId="0" xfId="225" applyFont="1" applyAlignment="1">
      <alignment vertical="center" wrapText="1"/>
    </xf>
    <xf numFmtId="0" fontId="11" fillId="0" borderId="0" xfId="225" applyFont="1" applyAlignment="1">
      <alignment horizontal="left" wrapText="1"/>
    </xf>
    <xf numFmtId="0" fontId="11" fillId="0" borderId="0" xfId="208" applyNumberFormat="1" applyFont="1" applyFill="1" applyBorder="1" applyAlignment="1">
      <alignment horizontal="left" wrapText="1"/>
    </xf>
    <xf numFmtId="0" fontId="80" fillId="0" borderId="0" xfId="208" applyNumberFormat="1" applyFont="1" applyFill="1" applyBorder="1" applyAlignment="1" applyProtection="1">
      <alignment horizontal="center"/>
    </xf>
    <xf numFmtId="0" fontId="4" fillId="0" borderId="0" xfId="208" applyFont="1" applyBorder="1" applyAlignment="1" applyProtection="1">
      <alignment horizontal="center"/>
    </xf>
    <xf numFmtId="3" fontId="4" fillId="0" borderId="0" xfId="0" applyNumberFormat="1" applyFont="1" applyAlignment="1" applyProtection="1">
      <alignment horizontal="center"/>
    </xf>
    <xf numFmtId="0" fontId="80" fillId="0" borderId="0" xfId="250" applyFont="1" applyFill="1" applyAlignment="1" applyProtection="1">
      <alignment horizontal="center"/>
    </xf>
    <xf numFmtId="0" fontId="16" fillId="0" borderId="0" xfId="250"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8"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7" applyFont="1" applyFill="1" applyAlignment="1" applyProtection="1">
      <alignment wrapText="1"/>
    </xf>
    <xf numFmtId="0" fontId="119" fillId="0" borderId="0" xfId="0" applyFont="1" applyAlignment="1" applyProtection="1">
      <alignment wrapText="1"/>
    </xf>
    <xf numFmtId="172" fontId="11" fillId="0" borderId="0" xfId="257" applyFont="1" applyFill="1" applyAlignment="1" applyProtection="1">
      <alignment horizontal="left" vertical="top" wrapText="1"/>
    </xf>
    <xf numFmtId="0" fontId="93" fillId="0" borderId="0" xfId="262" applyFont="1" applyFill="1" applyAlignment="1" applyProtection="1">
      <alignment wrapText="1"/>
    </xf>
    <xf numFmtId="3" fontId="3" fillId="0" borderId="0" xfId="0" applyNumberFormat="1" applyFont="1" applyAlignment="1" applyProtection="1">
      <alignment horizontal="center"/>
    </xf>
    <xf numFmtId="0" fontId="9" fillId="0" borderId="0" xfId="262" applyFont="1" applyFill="1" applyAlignment="1" applyProtection="1">
      <alignment horizontal="center"/>
    </xf>
    <xf numFmtId="3" fontId="3" fillId="0" borderId="0" xfId="0" applyNumberFormat="1" applyFont="1" applyAlignment="1">
      <alignment horizontal="center"/>
    </xf>
    <xf numFmtId="0" fontId="73" fillId="0" borderId="11" xfId="258" applyFont="1" applyBorder="1" applyAlignment="1" applyProtection="1">
      <alignment horizontal="center"/>
    </xf>
    <xf numFmtId="3" fontId="4" fillId="0" borderId="0" xfId="208" applyNumberFormat="1" applyFont="1" applyBorder="1" applyAlignment="1" applyProtection="1">
      <alignment horizontal="center"/>
    </xf>
    <xf numFmtId="0" fontId="70" fillId="0" borderId="0" xfId="258" applyFont="1" applyFill="1" applyAlignment="1">
      <alignment horizontal="left" wrapText="1"/>
    </xf>
    <xf numFmtId="0" fontId="0" fillId="0" borderId="0" xfId="0" applyAlignment="1"/>
    <xf numFmtId="0" fontId="70" fillId="0" borderId="0" xfId="25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8" applyFont="1" applyBorder="1" applyAlignment="1">
      <alignment horizontal="center"/>
    </xf>
    <xf numFmtId="0" fontId="3" fillId="0" borderId="0" xfId="0" applyFont="1" applyAlignment="1">
      <alignment horizontal="center"/>
    </xf>
    <xf numFmtId="173" fontId="94" fillId="0" borderId="0" xfId="86" applyNumberFormat="1" applyFont="1" applyBorder="1" applyAlignment="1" applyProtection="1">
      <alignment horizontal="center"/>
    </xf>
    <xf numFmtId="0" fontId="153" fillId="30" borderId="0" xfId="0" applyFont="1" applyFill="1" applyAlignment="1" applyProtection="1">
      <alignment horizontal="left" vertical="top" wrapText="1"/>
      <protection locked="0"/>
    </xf>
    <xf numFmtId="0" fontId="0" fillId="0" borderId="0" xfId="0" applyAlignment="1" applyProtection="1">
      <alignment horizontal="left" vertical="center" wrapText="1"/>
    </xf>
    <xf numFmtId="0" fontId="68" fillId="30" borderId="0" xfId="0" applyFont="1" applyFill="1" applyAlignment="1" applyProtection="1">
      <alignment horizontal="left" vertical="top" wrapText="1"/>
      <protection locked="0"/>
    </xf>
    <xf numFmtId="0" fontId="0" fillId="30" borderId="0" xfId="0" applyFill="1" applyAlignment="1" applyProtection="1">
      <alignment vertical="top" wrapText="1"/>
      <protection locked="0"/>
    </xf>
    <xf numFmtId="0" fontId="3" fillId="0" borderId="0" xfId="0" applyFont="1" applyFill="1" applyAlignment="1" applyProtection="1">
      <alignment wrapText="1"/>
    </xf>
    <xf numFmtId="0" fontId="0" fillId="0" borderId="0" xfId="0"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53" fillId="30" borderId="0" xfId="0" applyFont="1" applyFill="1" applyAlignment="1" applyProtection="1">
      <alignment horizontal="left" wrapText="1"/>
      <protection locked="0"/>
    </xf>
    <xf numFmtId="0" fontId="0" fillId="0" borderId="0" xfId="0" applyNumberFormat="1" applyAlignment="1" applyProtection="1">
      <alignment horizontal="left" wrapText="1"/>
    </xf>
    <xf numFmtId="172" fontId="1" fillId="0" borderId="23" xfId="25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0" borderId="0" xfId="252" applyFont="1" applyFill="1" applyAlignment="1" applyProtection="1">
      <alignment horizontal="left" wrapText="1"/>
    </xf>
    <xf numFmtId="0" fontId="11" fillId="0" borderId="0" xfId="182" applyFont="1" applyFill="1" applyAlignment="1" applyProtection="1">
      <alignment wrapText="1"/>
    </xf>
    <xf numFmtId="0" fontId="111" fillId="0" borderId="0" xfId="252" applyFont="1" applyFill="1" applyAlignment="1" applyProtection="1">
      <alignment horizontal="left" wrapText="1"/>
    </xf>
    <xf numFmtId="0" fontId="62" fillId="0" borderId="0" xfId="163" applyFont="1" applyAlignment="1" applyProtection="1">
      <alignment horizontal="left" vertical="top" wrapText="1"/>
    </xf>
    <xf numFmtId="41" fontId="8" fillId="0" borderId="0" xfId="252" applyNumberFormat="1" applyFont="1" applyFill="1" applyBorder="1" applyAlignment="1" applyProtection="1">
      <alignment horizontal="center" wrapText="1"/>
    </xf>
    <xf numFmtId="0" fontId="4" fillId="0" borderId="0" xfId="163" applyFont="1" applyAlignment="1" applyProtection="1">
      <alignment horizontal="center"/>
    </xf>
    <xf numFmtId="0" fontId="8" fillId="0" borderId="47" xfId="163" applyFont="1" applyBorder="1" applyAlignment="1">
      <alignment horizontal="center"/>
    </xf>
    <xf numFmtId="0" fontId="8" fillId="0" borderId="13" xfId="163" applyFont="1" applyBorder="1" applyAlignment="1">
      <alignment horizontal="center"/>
    </xf>
    <xf numFmtId="0" fontId="8" fillId="0" borderId="48" xfId="163"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08" applyFont="1" applyBorder="1" applyAlignment="1" applyProtection="1">
      <alignment horizontal="center"/>
    </xf>
    <xf numFmtId="3" fontId="139" fillId="0" borderId="0" xfId="208" applyNumberFormat="1" applyFont="1" applyAlignment="1" applyProtection="1">
      <alignment horizontal="center"/>
    </xf>
    <xf numFmtId="0" fontId="76" fillId="0" borderId="11" xfId="260" applyFont="1" applyBorder="1" applyAlignment="1" applyProtection="1">
      <alignment wrapText="1"/>
    </xf>
    <xf numFmtId="0" fontId="0" fillId="0" borderId="11" xfId="0" applyBorder="1" applyAlignment="1" applyProtection="1">
      <alignment wrapText="1"/>
    </xf>
    <xf numFmtId="0" fontId="2" fillId="0" borderId="11" xfId="260" applyFont="1" applyBorder="1" applyAlignment="1" applyProtection="1">
      <alignment wrapText="1"/>
    </xf>
    <xf numFmtId="0" fontId="11" fillId="0" borderId="11" xfId="0" applyFont="1" applyBorder="1" applyAlignment="1" applyProtection="1">
      <alignment wrapText="1"/>
    </xf>
    <xf numFmtId="3" fontId="101" fillId="0" borderId="0" xfId="260" applyNumberFormat="1" applyFont="1" applyAlignment="1" applyProtection="1">
      <alignment horizontal="center"/>
    </xf>
    <xf numFmtId="0" fontId="101" fillId="0" borderId="0" xfId="260" applyFont="1" applyAlignment="1" applyProtection="1">
      <alignment horizontal="center"/>
    </xf>
    <xf numFmtId="0" fontId="101" fillId="0" borderId="0" xfId="260" applyFont="1" applyFill="1" applyAlignment="1" applyProtection="1">
      <alignment horizontal="center"/>
    </xf>
    <xf numFmtId="0" fontId="11" fillId="0" borderId="0" xfId="250" applyFont="1" applyFill="1" applyAlignment="1" applyProtection="1">
      <alignment horizontal="left" vertical="top" wrapText="1"/>
    </xf>
    <xf numFmtId="0" fontId="8" fillId="0" borderId="0" xfId="264"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cellXfs>
  <cellStyles count="33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xfId="102" xr:uid="{00000000-0005-0000-0000-000065000000}"/>
    <cellStyle name="Comma 4 2" xfId="103" xr:uid="{00000000-0005-0000-0000-000066000000}"/>
    <cellStyle name="Comma 4 2 2" xfId="104" xr:uid="{00000000-0005-0000-0000-000067000000}"/>
    <cellStyle name="Comma 4 3" xfId="105" xr:uid="{00000000-0005-0000-0000-000068000000}"/>
    <cellStyle name="Comma 5 2" xfId="106" xr:uid="{00000000-0005-0000-0000-000069000000}"/>
    <cellStyle name="Comma 6" xfId="107" xr:uid="{00000000-0005-0000-0000-00006A000000}"/>
    <cellStyle name="Comma 6 2" xfId="108" xr:uid="{00000000-0005-0000-0000-00006B000000}"/>
    <cellStyle name="Comma 6 2 2" xfId="109" xr:uid="{00000000-0005-0000-0000-00006C000000}"/>
    <cellStyle name="Comma 6 3" xfId="110" xr:uid="{00000000-0005-0000-0000-00006D000000}"/>
    <cellStyle name="Comma 7" xfId="111" xr:uid="{00000000-0005-0000-0000-00006E000000}"/>
    <cellStyle name="Comma 9" xfId="112" xr:uid="{00000000-0005-0000-0000-00006F000000}"/>
    <cellStyle name="Comma_spp calc - revsd rev crd" xfId="113" xr:uid="{00000000-0005-0000-0000-000070000000}"/>
    <cellStyle name="Comma_spp calc - revsd rev crd 2" xfId="114" xr:uid="{00000000-0005-0000-0000-000071000000}"/>
    <cellStyle name="Comma0" xfId="115" xr:uid="{00000000-0005-0000-0000-000072000000}"/>
    <cellStyle name="Currency" xfId="116" builtinId="4"/>
    <cellStyle name="Currency 2" xfId="117" xr:uid="{00000000-0005-0000-0000-000074000000}"/>
    <cellStyle name="Currency 2 2" xfId="118" xr:uid="{00000000-0005-0000-0000-000075000000}"/>
    <cellStyle name="Currency 3" xfId="119" xr:uid="{00000000-0005-0000-0000-000076000000}"/>
    <cellStyle name="Currency 3 2" xfId="120" xr:uid="{00000000-0005-0000-0000-000077000000}"/>
    <cellStyle name="Currency 3 3" xfId="121" xr:uid="{00000000-0005-0000-0000-000078000000}"/>
    <cellStyle name="Currency 3 3 2" xfId="122" xr:uid="{00000000-0005-0000-0000-000079000000}"/>
    <cellStyle name="Currency 3 3 3" xfId="123" xr:uid="{00000000-0005-0000-0000-00007A000000}"/>
    <cellStyle name="Currency 3 4" xfId="124" xr:uid="{00000000-0005-0000-0000-00007B000000}"/>
    <cellStyle name="Currency 3 4 2" xfId="125" xr:uid="{00000000-0005-0000-0000-00007C000000}"/>
    <cellStyle name="Currency 3 4 3" xfId="126" xr:uid="{00000000-0005-0000-0000-00007D000000}"/>
    <cellStyle name="Currency 3 5" xfId="127" xr:uid="{00000000-0005-0000-0000-00007E000000}"/>
    <cellStyle name="Currency 3 5 2" xfId="128" xr:uid="{00000000-0005-0000-0000-00007F000000}"/>
    <cellStyle name="Currency 3 6" xfId="129" xr:uid="{00000000-0005-0000-0000-000080000000}"/>
    <cellStyle name="Currency 4 2" xfId="130" xr:uid="{00000000-0005-0000-0000-000081000000}"/>
    <cellStyle name="Currency 4 2 2" xfId="131" xr:uid="{00000000-0005-0000-0000-000082000000}"/>
    <cellStyle name="Currency 4 3" xfId="132" xr:uid="{00000000-0005-0000-0000-000083000000}"/>
    <cellStyle name="Currency 5 2" xfId="133" xr:uid="{00000000-0005-0000-0000-000084000000}"/>
    <cellStyle name="Currency 6" xfId="134" xr:uid="{00000000-0005-0000-0000-000085000000}"/>
    <cellStyle name="Currency0" xfId="135" xr:uid="{00000000-0005-0000-0000-000086000000}"/>
    <cellStyle name="Date" xfId="136" xr:uid="{00000000-0005-0000-0000-000087000000}"/>
    <cellStyle name="Explanatory Text" xfId="137" builtinId="53" customBuiltin="1"/>
    <cellStyle name="Explanatory Text 2" xfId="138" xr:uid="{00000000-0005-0000-0000-000089000000}"/>
    <cellStyle name="Fixed" xfId="139" xr:uid="{00000000-0005-0000-0000-00008A000000}"/>
    <cellStyle name="Good" xfId="140" builtinId="26" customBuiltin="1"/>
    <cellStyle name="Good 2" xfId="141" xr:uid="{00000000-0005-0000-0000-00008C000000}"/>
    <cellStyle name="Heading 1" xfId="142" builtinId="16" customBuiltin="1"/>
    <cellStyle name="Heading 1 2" xfId="143" xr:uid="{00000000-0005-0000-0000-00008E000000}"/>
    <cellStyle name="Heading 2" xfId="144" builtinId="17" customBuiltin="1"/>
    <cellStyle name="Heading 2 2" xfId="145" xr:uid="{00000000-0005-0000-0000-000090000000}"/>
    <cellStyle name="Heading 3" xfId="146" builtinId="18" customBuiltin="1"/>
    <cellStyle name="Heading 3 2" xfId="147" xr:uid="{00000000-0005-0000-0000-000092000000}"/>
    <cellStyle name="Heading 4" xfId="148" builtinId="19" customBuiltin="1"/>
    <cellStyle name="Heading 4 2" xfId="149" xr:uid="{00000000-0005-0000-0000-000094000000}"/>
    <cellStyle name="Heading1" xfId="150" xr:uid="{00000000-0005-0000-0000-000095000000}"/>
    <cellStyle name="Heading2" xfId="151" xr:uid="{00000000-0005-0000-0000-000096000000}"/>
    <cellStyle name="Input" xfId="152" builtinId="20" customBuiltin="1"/>
    <cellStyle name="Input 2" xfId="153" xr:uid="{00000000-0005-0000-0000-000098000000}"/>
    <cellStyle name="Linked Cell" xfId="154" builtinId="24" customBuiltin="1"/>
    <cellStyle name="Linked Cell 2" xfId="155" xr:uid="{00000000-0005-0000-0000-00009A000000}"/>
    <cellStyle name="Neutral" xfId="156" builtinId="28" customBuiltin="1"/>
    <cellStyle name="Neutral 2" xfId="157" xr:uid="{00000000-0005-0000-0000-00009C000000}"/>
    <cellStyle name="Normal" xfId="0" builtinId="0"/>
    <cellStyle name="Normal 10" xfId="158" xr:uid="{00000000-0005-0000-0000-00009E000000}"/>
    <cellStyle name="Normal 10 2" xfId="159" xr:uid="{00000000-0005-0000-0000-00009F000000}"/>
    <cellStyle name="Normal 10 3" xfId="160" xr:uid="{00000000-0005-0000-0000-0000A0000000}"/>
    <cellStyle name="Normal 10 4" xfId="161" xr:uid="{00000000-0005-0000-0000-0000A1000000}"/>
    <cellStyle name="Normal 11" xfId="162" xr:uid="{00000000-0005-0000-0000-0000A2000000}"/>
    <cellStyle name="Normal 11 2" xfId="163" xr:uid="{00000000-0005-0000-0000-0000A3000000}"/>
    <cellStyle name="Normal 11 3" xfId="164" xr:uid="{00000000-0005-0000-0000-0000A4000000}"/>
    <cellStyle name="Normal 11 4" xfId="165" xr:uid="{00000000-0005-0000-0000-0000A5000000}"/>
    <cellStyle name="Normal 12" xfId="166" xr:uid="{00000000-0005-0000-0000-0000A6000000}"/>
    <cellStyle name="Normal 12 2" xfId="167" xr:uid="{00000000-0005-0000-0000-0000A7000000}"/>
    <cellStyle name="Normal 12 4" xfId="168" xr:uid="{00000000-0005-0000-0000-0000A8000000}"/>
    <cellStyle name="Normal 13" xfId="169" xr:uid="{00000000-0005-0000-0000-0000A9000000}"/>
    <cellStyle name="Normal 13 2" xfId="170" xr:uid="{00000000-0005-0000-0000-0000AA000000}"/>
    <cellStyle name="Normal 14" xfId="171" xr:uid="{00000000-0005-0000-0000-0000AB000000}"/>
    <cellStyle name="Normal 14 2" xfId="172" xr:uid="{00000000-0005-0000-0000-0000AC000000}"/>
    <cellStyle name="Normal 15" xfId="173" xr:uid="{00000000-0005-0000-0000-0000AD000000}"/>
    <cellStyle name="Normal 16" xfId="174" xr:uid="{00000000-0005-0000-0000-0000AE000000}"/>
    <cellStyle name="Normal 16 2" xfId="175" xr:uid="{00000000-0005-0000-0000-0000AF000000}"/>
    <cellStyle name="Normal 17" xfId="176" xr:uid="{00000000-0005-0000-0000-0000B0000000}"/>
    <cellStyle name="Normal 17 2" xfId="177" xr:uid="{00000000-0005-0000-0000-0000B1000000}"/>
    <cellStyle name="Normal 18" xfId="178" xr:uid="{00000000-0005-0000-0000-0000B2000000}"/>
    <cellStyle name="Normal 18 2" xfId="179" xr:uid="{00000000-0005-0000-0000-0000B3000000}"/>
    <cellStyle name="Normal 19" xfId="180" xr:uid="{00000000-0005-0000-0000-0000B4000000}"/>
    <cellStyle name="Normal 19 2" xfId="181" xr:uid="{00000000-0005-0000-0000-0000B5000000}"/>
    <cellStyle name="Normal 2" xfId="182" xr:uid="{00000000-0005-0000-0000-0000B6000000}"/>
    <cellStyle name="Normal 2 2" xfId="183" xr:uid="{00000000-0005-0000-0000-0000B7000000}"/>
    <cellStyle name="Normal 2 2 2" xfId="184" xr:uid="{00000000-0005-0000-0000-0000B8000000}"/>
    <cellStyle name="Normal 2 2 3" xfId="185" xr:uid="{00000000-0005-0000-0000-0000B9000000}"/>
    <cellStyle name="Normal 2 2 4" xfId="186" xr:uid="{00000000-0005-0000-0000-0000BA000000}"/>
    <cellStyle name="Normal 2 3" xfId="187" xr:uid="{00000000-0005-0000-0000-0000BB000000}"/>
    <cellStyle name="Normal 2 5" xfId="188" xr:uid="{00000000-0005-0000-0000-0000BC000000}"/>
    <cellStyle name="Normal 2 5 2" xfId="189" xr:uid="{00000000-0005-0000-0000-0000BD000000}"/>
    <cellStyle name="Normal 20" xfId="190" xr:uid="{00000000-0005-0000-0000-0000BE000000}"/>
    <cellStyle name="Normal 20 2" xfId="191" xr:uid="{00000000-0005-0000-0000-0000BF000000}"/>
    <cellStyle name="Normal 21" xfId="192" xr:uid="{00000000-0005-0000-0000-0000C0000000}"/>
    <cellStyle name="Normal 21 2" xfId="193" xr:uid="{00000000-0005-0000-0000-0000C1000000}"/>
    <cellStyle name="Normal 22" xfId="194" xr:uid="{00000000-0005-0000-0000-0000C2000000}"/>
    <cellStyle name="Normal 22 2" xfId="195" xr:uid="{00000000-0005-0000-0000-0000C3000000}"/>
    <cellStyle name="Normal 23" xfId="196" xr:uid="{00000000-0005-0000-0000-0000C4000000}"/>
    <cellStyle name="Normal 23 2" xfId="197" xr:uid="{00000000-0005-0000-0000-0000C5000000}"/>
    <cellStyle name="Normal 24" xfId="198" xr:uid="{00000000-0005-0000-0000-0000C6000000}"/>
    <cellStyle name="Normal 24 2" xfId="199" xr:uid="{00000000-0005-0000-0000-0000C7000000}"/>
    <cellStyle name="Normal 25" xfId="200" xr:uid="{00000000-0005-0000-0000-0000C8000000}"/>
    <cellStyle name="Normal 25 2" xfId="201" xr:uid="{00000000-0005-0000-0000-0000C9000000}"/>
    <cellStyle name="Normal 26" xfId="202" xr:uid="{00000000-0005-0000-0000-0000CA000000}"/>
    <cellStyle name="Normal 26 2" xfId="203" xr:uid="{00000000-0005-0000-0000-0000CB000000}"/>
    <cellStyle name="Normal 27" xfId="204" xr:uid="{00000000-0005-0000-0000-0000CC000000}"/>
    <cellStyle name="Normal 28" xfId="205" xr:uid="{00000000-0005-0000-0000-0000CD000000}"/>
    <cellStyle name="Normal 29" xfId="206" xr:uid="{00000000-0005-0000-0000-0000CE000000}"/>
    <cellStyle name="Normal 3" xfId="207" xr:uid="{00000000-0005-0000-0000-0000CF000000}"/>
    <cellStyle name="Normal 3 2" xfId="208" xr:uid="{00000000-0005-0000-0000-0000D0000000}"/>
    <cellStyle name="Normal 3 3" xfId="209" xr:uid="{00000000-0005-0000-0000-0000D1000000}"/>
    <cellStyle name="Normal 3_Attach O, GG, Support -New Method 2-14-11" xfId="210" xr:uid="{00000000-0005-0000-0000-0000D2000000}"/>
    <cellStyle name="Normal 31 2" xfId="211" xr:uid="{00000000-0005-0000-0000-0000D3000000}"/>
    <cellStyle name="Normal 4" xfId="212" xr:uid="{00000000-0005-0000-0000-0000D4000000}"/>
    <cellStyle name="Normal 4 2" xfId="213" xr:uid="{00000000-0005-0000-0000-0000D5000000}"/>
    <cellStyle name="Normal 4 3" xfId="214" xr:uid="{00000000-0005-0000-0000-0000D6000000}"/>
    <cellStyle name="Normal 4 3 2" xfId="215" xr:uid="{00000000-0005-0000-0000-0000D7000000}"/>
    <cellStyle name="Normal 4 3 3" xfId="216" xr:uid="{00000000-0005-0000-0000-0000D8000000}"/>
    <cellStyle name="Normal 4 4" xfId="217" xr:uid="{00000000-0005-0000-0000-0000D9000000}"/>
    <cellStyle name="Normal 4 4 2" xfId="218" xr:uid="{00000000-0005-0000-0000-0000DA000000}"/>
    <cellStyle name="Normal 4 4 3" xfId="219" xr:uid="{00000000-0005-0000-0000-0000DB000000}"/>
    <cellStyle name="Normal 4 5" xfId="220" xr:uid="{00000000-0005-0000-0000-0000DC000000}"/>
    <cellStyle name="Normal 4 5 2" xfId="221" xr:uid="{00000000-0005-0000-0000-0000DD000000}"/>
    <cellStyle name="Normal 4 6" xfId="222" xr:uid="{00000000-0005-0000-0000-0000DE000000}"/>
    <cellStyle name="Normal 4 7" xfId="223" xr:uid="{00000000-0005-0000-0000-0000DF000000}"/>
    <cellStyle name="Normal 4_PBOP Exhibit 1" xfId="224" xr:uid="{00000000-0005-0000-0000-0000E0000000}"/>
    <cellStyle name="Normal 5" xfId="225" xr:uid="{00000000-0005-0000-0000-0000E1000000}"/>
    <cellStyle name="Normal 5 2" xfId="226" xr:uid="{00000000-0005-0000-0000-0000E2000000}"/>
    <cellStyle name="Normal 5 2 2" xfId="227" xr:uid="{00000000-0005-0000-0000-0000E3000000}"/>
    <cellStyle name="Normal 5 2 3" xfId="228" xr:uid="{00000000-0005-0000-0000-0000E4000000}"/>
    <cellStyle name="Normal 5 3" xfId="229" xr:uid="{00000000-0005-0000-0000-0000E5000000}"/>
    <cellStyle name="Normal 5 4" xfId="230" xr:uid="{00000000-0005-0000-0000-0000E6000000}"/>
    <cellStyle name="Normal 5 4 2" xfId="231" xr:uid="{00000000-0005-0000-0000-0000E7000000}"/>
    <cellStyle name="Normal 6 2" xfId="232" xr:uid="{00000000-0005-0000-0000-0000E8000000}"/>
    <cellStyle name="Normal 6 2 2" xfId="233" xr:uid="{00000000-0005-0000-0000-0000E9000000}"/>
    <cellStyle name="Normal 6 2 3" xfId="234" xr:uid="{00000000-0005-0000-0000-0000EA000000}"/>
    <cellStyle name="Normal 6 2 4" xfId="235" xr:uid="{00000000-0005-0000-0000-0000EB000000}"/>
    <cellStyle name="Normal 6 3" xfId="236" xr:uid="{00000000-0005-0000-0000-0000EC000000}"/>
    <cellStyle name="Normal 6 3 2" xfId="237" xr:uid="{00000000-0005-0000-0000-0000ED000000}"/>
    <cellStyle name="Normal 6 4" xfId="238" xr:uid="{00000000-0005-0000-0000-0000EE000000}"/>
    <cellStyle name="Normal 6 5" xfId="239" xr:uid="{00000000-0005-0000-0000-0000EF000000}"/>
    <cellStyle name="Normal 7" xfId="240" xr:uid="{00000000-0005-0000-0000-0000F0000000}"/>
    <cellStyle name="Normal 7 2" xfId="241" xr:uid="{00000000-0005-0000-0000-0000F1000000}"/>
    <cellStyle name="Normal 7 3" xfId="242" xr:uid="{00000000-0005-0000-0000-0000F2000000}"/>
    <cellStyle name="Normal 8" xfId="243" xr:uid="{00000000-0005-0000-0000-0000F3000000}"/>
    <cellStyle name="Normal 8 2" xfId="244" xr:uid="{00000000-0005-0000-0000-0000F4000000}"/>
    <cellStyle name="Normal 8 3" xfId="245" xr:uid="{00000000-0005-0000-0000-0000F5000000}"/>
    <cellStyle name="Normal 9" xfId="246" xr:uid="{00000000-0005-0000-0000-0000F6000000}"/>
    <cellStyle name="Normal 9 2" xfId="247" xr:uid="{00000000-0005-0000-0000-0000F7000000}"/>
    <cellStyle name="Normal 9 3" xfId="248" xr:uid="{00000000-0005-0000-0000-0000F8000000}"/>
    <cellStyle name="Normal_21 Exh B" xfId="249" xr:uid="{00000000-0005-0000-0000-0000F9000000}"/>
    <cellStyle name="Normal_ADITAnalysisID090805" xfId="250" xr:uid="{00000000-0005-0000-0000-0000FA000000}"/>
    <cellStyle name="Normal_ADITAnalysisID090805 2" xfId="251" xr:uid="{00000000-0005-0000-0000-0000FB000000}"/>
    <cellStyle name="Normal_ADITAnalysisID090805 2 2" xfId="252" xr:uid="{00000000-0005-0000-0000-0000FC000000}"/>
    <cellStyle name="Normal_ADITAnalysisID090805 3" xfId="253" xr:uid="{00000000-0005-0000-0000-0000FD000000}"/>
    <cellStyle name="Normal_ATC Projected 2008 Monthly Plant Balances for Attachment O 2 (2)" xfId="254" xr:uid="{00000000-0005-0000-0000-0000FE000000}"/>
    <cellStyle name="Normal_AU Period 2 Rev 4-27-00" xfId="255" xr:uid="{00000000-0005-0000-0000-0000FF000000}"/>
    <cellStyle name="Normal_Copy of PATH Formula Rate 2010 Projection Filed Sept 1, 2009 R1" xfId="256" xr:uid="{00000000-0005-0000-0000-000000010000}"/>
    <cellStyle name="Normal_FN1 Ratebase Draft SPP template (6-11-04) v2" xfId="257" xr:uid="{00000000-0005-0000-0000-000001010000}"/>
    <cellStyle name="Normal_I&amp;M-AK-1" xfId="258" xr:uid="{00000000-0005-0000-0000-000002010000}"/>
    <cellStyle name="Normal_IM LTD Hedge Entries 2" xfId="259" xr:uid="{00000000-0005-0000-0000-000003010000}"/>
    <cellStyle name="Normal_Revised 1-21-10  Deprec Summary" xfId="260" xr:uid="{00000000-0005-0000-0000-000004010000}"/>
    <cellStyle name="Normal_Schedule O Info for Mike" xfId="261" xr:uid="{00000000-0005-0000-0000-000005010000}"/>
    <cellStyle name="Normal_spp calc - revsd rev crd" xfId="262" xr:uid="{00000000-0005-0000-0000-000006010000}"/>
    <cellStyle name="Normal_spp calc - revsd rev crd 2" xfId="263" xr:uid="{00000000-0005-0000-0000-000007010000}"/>
    <cellStyle name="Normal_Worksheet Q Draft dwb edits" xfId="264" xr:uid="{00000000-0005-0000-0000-000008010000}"/>
    <cellStyle name="Note" xfId="265" builtinId="10" customBuiltin="1"/>
    <cellStyle name="Note 2" xfId="266" xr:uid="{00000000-0005-0000-0000-00000A010000}"/>
    <cellStyle name="Output" xfId="267" builtinId="21" customBuiltin="1"/>
    <cellStyle name="Output 2" xfId="268" xr:uid="{00000000-0005-0000-0000-00000C010000}"/>
    <cellStyle name="Percent" xfId="269" builtinId="5"/>
    <cellStyle name="Percent 2" xfId="270" xr:uid="{00000000-0005-0000-0000-00000E010000}"/>
    <cellStyle name="Percent 2 2" xfId="271" xr:uid="{00000000-0005-0000-0000-00000F010000}"/>
    <cellStyle name="Percent 3" xfId="272" xr:uid="{00000000-0005-0000-0000-000010010000}"/>
    <cellStyle name="Percent 3 2" xfId="273" xr:uid="{00000000-0005-0000-0000-000011010000}"/>
    <cellStyle name="Percent 3 3" xfId="274" xr:uid="{00000000-0005-0000-0000-000012010000}"/>
    <cellStyle name="Percent 3 3 2" xfId="275" xr:uid="{00000000-0005-0000-0000-000013010000}"/>
    <cellStyle name="Percent 3 3 3" xfId="276" xr:uid="{00000000-0005-0000-0000-000014010000}"/>
    <cellStyle name="Percent 3 4" xfId="277" xr:uid="{00000000-0005-0000-0000-000015010000}"/>
    <cellStyle name="Percent 3 4 2" xfId="278" xr:uid="{00000000-0005-0000-0000-000016010000}"/>
    <cellStyle name="Percent 3 4 3" xfId="279" xr:uid="{00000000-0005-0000-0000-000017010000}"/>
    <cellStyle name="Percent 3 5" xfId="280" xr:uid="{00000000-0005-0000-0000-000018010000}"/>
    <cellStyle name="Percent 3 5 2" xfId="281" xr:uid="{00000000-0005-0000-0000-000019010000}"/>
    <cellStyle name="Percent 3 6" xfId="282" xr:uid="{00000000-0005-0000-0000-00001A010000}"/>
    <cellStyle name="Percent 4" xfId="283" xr:uid="{00000000-0005-0000-0000-00001B010000}"/>
    <cellStyle name="Percent 4 2" xfId="284" xr:uid="{00000000-0005-0000-0000-00001C010000}"/>
    <cellStyle name="Percent 4 3" xfId="285" xr:uid="{00000000-0005-0000-0000-00001D010000}"/>
    <cellStyle name="Percent 4 3 2" xfId="286" xr:uid="{00000000-0005-0000-0000-00001E010000}"/>
    <cellStyle name="Percent 4 4" xfId="287" xr:uid="{00000000-0005-0000-0000-00001F010000}"/>
    <cellStyle name="Percent 5" xfId="288" xr:uid="{00000000-0005-0000-0000-000020010000}"/>
    <cellStyle name="Percent 5 2" xfId="289" xr:uid="{00000000-0005-0000-0000-000021010000}"/>
    <cellStyle name="Percent 6" xfId="290" xr:uid="{00000000-0005-0000-0000-000022010000}"/>
    <cellStyle name="PSChar" xfId="291" xr:uid="{00000000-0005-0000-0000-000023010000}"/>
    <cellStyle name="PSDate" xfId="292" xr:uid="{00000000-0005-0000-0000-000024010000}"/>
    <cellStyle name="PSDec" xfId="293" xr:uid="{00000000-0005-0000-0000-000025010000}"/>
    <cellStyle name="PSdesc" xfId="294" xr:uid="{00000000-0005-0000-0000-000026010000}"/>
    <cellStyle name="PSHeading" xfId="295" xr:uid="{00000000-0005-0000-0000-000027010000}"/>
    <cellStyle name="PSInt" xfId="296" xr:uid="{00000000-0005-0000-0000-000028010000}"/>
    <cellStyle name="PSSpacer" xfId="297" xr:uid="{00000000-0005-0000-0000-000029010000}"/>
    <cellStyle name="PStest" xfId="298" xr:uid="{00000000-0005-0000-0000-00002A010000}"/>
    <cellStyle name="R00A" xfId="299" xr:uid="{00000000-0005-0000-0000-00002B010000}"/>
    <cellStyle name="R00B" xfId="300" xr:uid="{00000000-0005-0000-0000-00002C010000}"/>
    <cellStyle name="R00L" xfId="301" xr:uid="{00000000-0005-0000-0000-00002D010000}"/>
    <cellStyle name="R01A" xfId="302" xr:uid="{00000000-0005-0000-0000-00002E010000}"/>
    <cellStyle name="R01B" xfId="303" xr:uid="{00000000-0005-0000-0000-00002F010000}"/>
    <cellStyle name="R01H" xfId="304" xr:uid="{00000000-0005-0000-0000-000030010000}"/>
    <cellStyle name="R01L" xfId="305" xr:uid="{00000000-0005-0000-0000-000031010000}"/>
    <cellStyle name="R02A" xfId="306" xr:uid="{00000000-0005-0000-0000-000032010000}"/>
    <cellStyle name="R02B" xfId="307" xr:uid="{00000000-0005-0000-0000-000033010000}"/>
    <cellStyle name="R02H" xfId="308" xr:uid="{00000000-0005-0000-0000-000034010000}"/>
    <cellStyle name="R02L" xfId="309" xr:uid="{00000000-0005-0000-0000-000035010000}"/>
    <cellStyle name="R03A" xfId="310" xr:uid="{00000000-0005-0000-0000-000036010000}"/>
    <cellStyle name="R03B" xfId="311" xr:uid="{00000000-0005-0000-0000-000037010000}"/>
    <cellStyle name="R03H" xfId="312" xr:uid="{00000000-0005-0000-0000-000038010000}"/>
    <cellStyle name="R03L" xfId="313" xr:uid="{00000000-0005-0000-0000-000039010000}"/>
    <cellStyle name="R04A" xfId="314" xr:uid="{00000000-0005-0000-0000-00003A010000}"/>
    <cellStyle name="R04B" xfId="315" xr:uid="{00000000-0005-0000-0000-00003B010000}"/>
    <cellStyle name="R04H" xfId="316" xr:uid="{00000000-0005-0000-0000-00003C010000}"/>
    <cellStyle name="R04L" xfId="317" xr:uid="{00000000-0005-0000-0000-00003D010000}"/>
    <cellStyle name="R05A" xfId="318" xr:uid="{00000000-0005-0000-0000-00003E010000}"/>
    <cellStyle name="R05B" xfId="319" xr:uid="{00000000-0005-0000-0000-00003F010000}"/>
    <cellStyle name="R05H" xfId="320" xr:uid="{00000000-0005-0000-0000-000040010000}"/>
    <cellStyle name="R05L" xfId="321" xr:uid="{00000000-0005-0000-0000-000041010000}"/>
    <cellStyle name="R06A" xfId="322" xr:uid="{00000000-0005-0000-0000-000042010000}"/>
    <cellStyle name="R06B" xfId="323" xr:uid="{00000000-0005-0000-0000-000043010000}"/>
    <cellStyle name="R06H" xfId="324" xr:uid="{00000000-0005-0000-0000-000044010000}"/>
    <cellStyle name="R06L" xfId="325" xr:uid="{00000000-0005-0000-0000-000045010000}"/>
    <cellStyle name="R07A" xfId="326" xr:uid="{00000000-0005-0000-0000-000046010000}"/>
    <cellStyle name="R07B" xfId="327" xr:uid="{00000000-0005-0000-0000-000047010000}"/>
    <cellStyle name="R07H" xfId="328" xr:uid="{00000000-0005-0000-0000-000048010000}"/>
    <cellStyle name="R07L" xfId="329" xr:uid="{00000000-0005-0000-0000-000049010000}"/>
    <cellStyle name="Title" xfId="330" builtinId="15" customBuiltin="1"/>
    <cellStyle name="Title 2" xfId="331" xr:uid="{00000000-0005-0000-0000-00004B010000}"/>
    <cellStyle name="Total" xfId="332" builtinId="25" customBuiltin="1"/>
    <cellStyle name="Total 2" xfId="333" xr:uid="{00000000-0005-0000-0000-00004D010000}"/>
    <cellStyle name="Warning Text" xfId="334" builtinId="11" customBuiltin="1"/>
    <cellStyle name="Warning Text 2" xfId="335" xr:uid="{00000000-0005-0000-0000-00004F010000}"/>
  </cellStyles>
  <dxfs count="5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60" zoomScaleNormal="70" zoomScalePageLayoutView="50" workbookViewId="0">
      <selection activeCell="I11" sqref="I11"/>
    </sheetView>
  </sheetViews>
  <sheetFormatPr defaultColWidth="11.42578125" defaultRowHeight="15"/>
  <cols>
    <col min="1" max="1" width="4.7109375" style="154" customWidth="1"/>
    <col min="2" max="2" width="7.85546875" style="153" customWidth="1"/>
    <col min="3" max="3" width="1.85546875" style="154" customWidth="1"/>
    <col min="4" max="4" width="56" style="154" customWidth="1"/>
    <col min="5" max="5" width="51.5703125" style="154" customWidth="1"/>
    <col min="6" max="6" width="17.5703125" style="154" customWidth="1"/>
    <col min="7" max="7" width="20.7109375" style="154" customWidth="1"/>
    <col min="8" max="8" width="20" style="154" customWidth="1"/>
    <col min="9" max="9" width="9.85546875" style="154" customWidth="1"/>
    <col min="10" max="10" width="17" style="154" customWidth="1"/>
    <col min="11" max="11" width="11.140625" style="154" customWidth="1"/>
    <col min="12" max="12" width="21.140625" style="154" customWidth="1"/>
    <col min="13" max="13" width="17" style="154" customWidth="1"/>
    <col min="14" max="14" width="17.5703125" style="154" customWidth="1"/>
    <col min="15" max="15" width="11.140625" style="154" customWidth="1"/>
    <col min="16" max="16" width="21.85546875" style="154" customWidth="1"/>
    <col min="17" max="17" width="11.42578125" style="154" customWidth="1"/>
    <col min="18" max="18" width="20.5703125" style="154" bestFit="1" customWidth="1"/>
    <col min="19" max="16384" width="11.42578125" style="154"/>
  </cols>
  <sheetData>
    <row r="1" spans="1:16" ht="15.75">
      <c r="A1" s="992" t="s">
        <v>408</v>
      </c>
    </row>
    <row r="2" spans="1:16" ht="15.75">
      <c r="A2" s="992" t="s">
        <v>408</v>
      </c>
    </row>
    <row r="3" spans="1:16" ht="15.75">
      <c r="D3" s="155"/>
      <c r="E3" s="156"/>
      <c r="F3" s="156"/>
      <c r="G3" s="157"/>
      <c r="I3" s="158"/>
      <c r="J3" s="158"/>
      <c r="K3" s="158"/>
      <c r="L3" s="159"/>
      <c r="N3" s="154" t="s">
        <v>408</v>
      </c>
      <c r="O3" s="160" t="s">
        <v>408</v>
      </c>
      <c r="P3" s="154" t="s">
        <v>408</v>
      </c>
    </row>
    <row r="4" spans="1:16">
      <c r="I4" s="154" t="s">
        <v>548</v>
      </c>
      <c r="L4" s="420">
        <v>2023</v>
      </c>
    </row>
    <row r="5" spans="1:16">
      <c r="D5" s="161"/>
      <c r="E5" s="161"/>
      <c r="F5" s="162" t="s">
        <v>321</v>
      </c>
      <c r="G5" s="163"/>
      <c r="H5" s="163"/>
      <c r="J5" s="161"/>
      <c r="K5" s="164"/>
      <c r="L5" s="164"/>
      <c r="M5" s="165"/>
      <c r="O5" s="166"/>
    </row>
    <row r="6" spans="1:16">
      <c r="D6" s="161"/>
      <c r="E6" s="167"/>
      <c r="F6" s="162" t="s">
        <v>195</v>
      </c>
      <c r="G6" s="163"/>
      <c r="H6" s="163"/>
      <c r="J6" s="167"/>
      <c r="K6" s="164"/>
      <c r="L6" s="164"/>
      <c r="M6" s="165"/>
    </row>
    <row r="7" spans="1:16">
      <c r="D7" s="164"/>
      <c r="E7" s="164"/>
      <c r="F7" s="168" t="str">
        <f>"Utilizing  Actual/Projected FERC Form 1 Data"</f>
        <v>Utilizing  Actual/Projected FERC Form 1 Data</v>
      </c>
      <c r="G7" s="163"/>
      <c r="H7" s="163"/>
      <c r="J7" s="164"/>
      <c r="K7" s="164"/>
      <c r="L7" s="164"/>
      <c r="M7" s="165"/>
    </row>
    <row r="8" spans="1:16">
      <c r="B8" s="169"/>
      <c r="C8" s="170"/>
      <c r="D8" s="164"/>
      <c r="H8" s="171"/>
      <c r="I8" s="171"/>
      <c r="J8" s="171"/>
      <c r="K8" s="171"/>
      <c r="L8" s="164"/>
      <c r="M8" s="164"/>
    </row>
    <row r="9" spans="1:16" ht="15.75">
      <c r="B9" s="169"/>
      <c r="C9" s="170"/>
      <c r="D9" s="172"/>
      <c r="E9" s="164"/>
      <c r="F9" s="173" t="s">
        <v>798</v>
      </c>
      <c r="G9" s="174"/>
      <c r="H9" s="164"/>
      <c r="I9" s="164"/>
      <c r="J9" s="164"/>
      <c r="K9" s="164"/>
      <c r="L9" s="172"/>
      <c r="M9" s="164"/>
    </row>
    <row r="10" spans="1:16">
      <c r="B10" s="169"/>
      <c r="C10" s="170"/>
      <c r="D10" s="164"/>
      <c r="E10" s="164"/>
      <c r="F10" s="175"/>
      <c r="G10" s="174"/>
      <c r="H10" s="164"/>
      <c r="I10" s="164"/>
      <c r="J10" s="164"/>
      <c r="K10" s="164"/>
      <c r="L10" s="172"/>
      <c r="M10" s="164"/>
    </row>
    <row r="11" spans="1:16">
      <c r="B11" s="169" t="s">
        <v>461</v>
      </c>
      <c r="C11" s="170"/>
      <c r="D11" s="164"/>
      <c r="E11" s="164"/>
      <c r="F11" s="164"/>
      <c r="G11" s="174"/>
      <c r="H11" s="164"/>
      <c r="I11" s="164"/>
      <c r="J11" s="164"/>
      <c r="K11" s="164"/>
      <c r="L11" s="170" t="s">
        <v>409</v>
      </c>
      <c r="M11" s="164"/>
    </row>
    <row r="12" spans="1:16" ht="15.75" thickBot="1">
      <c r="B12" s="176" t="s">
        <v>411</v>
      </c>
      <c r="C12" s="177"/>
      <c r="D12" s="164"/>
      <c r="E12" s="177"/>
      <c r="F12" s="164"/>
      <c r="G12" s="164"/>
      <c r="H12" s="164"/>
      <c r="I12" s="164"/>
      <c r="J12" s="164"/>
      <c r="K12" s="164"/>
      <c r="L12" s="178" t="s">
        <v>462</v>
      </c>
      <c r="M12" s="164"/>
    </row>
    <row r="13" spans="1:16">
      <c r="B13" s="169">
        <v>1</v>
      </c>
      <c r="C13" s="170"/>
      <c r="D13" s="179" t="s">
        <v>405</v>
      </c>
      <c r="E13" s="180" t="str">
        <f>"(ln "&amp;B191&amp;")"</f>
        <v>(ln 113)</v>
      </c>
      <c r="F13" s="180"/>
      <c r="G13" s="181"/>
      <c r="H13" s="182"/>
      <c r="I13" s="164"/>
      <c r="J13" s="164"/>
      <c r="K13" s="164"/>
      <c r="L13" s="183">
        <f>+L191</f>
        <v>816440548.21692109</v>
      </c>
      <c r="M13" s="164"/>
    </row>
    <row r="14" spans="1:16" ht="15.75" thickBot="1">
      <c r="B14" s="169"/>
      <c r="C14" s="170"/>
      <c r="E14" s="184"/>
      <c r="F14" s="185"/>
      <c r="G14" s="178" t="s">
        <v>412</v>
      </c>
      <c r="H14" s="167"/>
      <c r="I14" s="186" t="s">
        <v>413</v>
      </c>
      <c r="J14" s="186"/>
      <c r="K14" s="164"/>
      <c r="L14" s="181"/>
      <c r="M14" s="164"/>
    </row>
    <row r="15" spans="1:16">
      <c r="B15" s="169">
        <f>+B13+1</f>
        <v>2</v>
      </c>
      <c r="C15" s="170"/>
      <c r="D15" s="187" t="s">
        <v>460</v>
      </c>
      <c r="E15" s="184" t="str">
        <f>"(Worksheet E,  ln  "&amp;'WS E Rev Credits'!A31&amp;") (Note A) "</f>
        <v xml:space="preserve">(Worksheet E,  ln  8) (Note A) </v>
      </c>
      <c r="F15" s="185"/>
      <c r="G15" s="188">
        <f>+'WS E Rev Credits'!K31</f>
        <v>10759062.550000001</v>
      </c>
      <c r="H15" s="185"/>
      <c r="I15" s="189" t="s">
        <v>422</v>
      </c>
      <c r="J15" s="190">
        <v>1</v>
      </c>
      <c r="K15" s="167"/>
      <c r="L15" s="191">
        <f>+J15*G15</f>
        <v>10759062.550000001</v>
      </c>
      <c r="M15" s="164"/>
    </row>
    <row r="16" spans="1:16">
      <c r="B16" s="169"/>
      <c r="C16" s="170"/>
      <c r="D16" s="187"/>
      <c r="E16" s="184"/>
      <c r="F16" s="185"/>
      <c r="G16" s="188"/>
      <c r="H16" s="185"/>
      <c r="I16" s="189"/>
      <c r="J16" s="190"/>
      <c r="K16" s="167"/>
      <c r="L16" s="191"/>
      <c r="M16" s="164"/>
    </row>
    <row r="17" spans="2:13">
      <c r="B17" s="192">
        <f>+B15+1</f>
        <v>3</v>
      </c>
      <c r="C17" s="170"/>
      <c r="D17" s="187" t="s">
        <v>549</v>
      </c>
      <c r="E17" s="154" t="str">
        <f>"Worksheet E, ln "&amp;'WS E Rev Credits'!A33&amp;") (Note X) "</f>
        <v xml:space="preserve">Worksheet E, ln 9) (Note X) </v>
      </c>
      <c r="F17" s="167"/>
      <c r="L17" s="191">
        <f>'WS E Rev Credits'!K33</f>
        <v>5663846</v>
      </c>
      <c r="M17" s="164"/>
    </row>
    <row r="18" spans="2:13" ht="30.75" thickBot="1">
      <c r="B18" s="192">
        <f>+B17+1</f>
        <v>4</v>
      </c>
      <c r="C18" s="193"/>
      <c r="D18" s="194" t="s">
        <v>244</v>
      </c>
      <c r="E18" s="195" t="str">
        <f>"(ln "&amp;B13&amp;"  less ln " &amp;B15&amp;" plus ln 3)"</f>
        <v>(ln 1  less ln 2 plus ln 3)</v>
      </c>
      <c r="F18" s="164"/>
      <c r="H18" s="167"/>
      <c r="I18" s="196"/>
      <c r="J18" s="167"/>
      <c r="K18" s="167"/>
      <c r="L18" s="197">
        <f>+L13-L15+L17</f>
        <v>811345331.66692114</v>
      </c>
      <c r="M18" s="164"/>
    </row>
    <row r="19" spans="2:13" ht="15.75" thickTop="1">
      <c r="B19" s="192"/>
      <c r="C19" s="193"/>
      <c r="D19" s="187"/>
      <c r="E19" s="195"/>
      <c r="F19" s="164"/>
      <c r="H19" s="167"/>
      <c r="I19" s="196"/>
      <c r="J19" s="167"/>
      <c r="K19" s="167"/>
      <c r="L19" s="198"/>
      <c r="M19" s="164"/>
    </row>
    <row r="20" spans="2:13">
      <c r="B20" s="192"/>
      <c r="C20" s="193"/>
      <c r="D20" s="187"/>
      <c r="E20" s="195"/>
      <c r="F20" s="164"/>
      <c r="H20" s="167"/>
      <c r="I20" s="196"/>
      <c r="J20" s="167"/>
      <c r="K20" s="167"/>
      <c r="L20" s="198"/>
      <c r="M20" s="164"/>
    </row>
    <row r="21" spans="2:13" ht="15" customHeight="1">
      <c r="B21" s="1463"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63"/>
      <c r="D21" s="1463"/>
      <c r="E21" s="1463"/>
      <c r="F21" s="1463"/>
      <c r="G21" s="1463"/>
      <c r="H21" s="1463"/>
      <c r="I21" s="1463"/>
    </row>
    <row r="22" spans="2:13" ht="35.25" customHeight="1">
      <c r="B22" s="1463"/>
      <c r="C22" s="1463"/>
      <c r="D22" s="1463"/>
      <c r="E22" s="1463"/>
      <c r="F22" s="1463"/>
      <c r="G22" s="1463"/>
      <c r="H22" s="1463"/>
      <c r="I22" s="1463"/>
    </row>
    <row r="23" spans="2:13" ht="15" customHeight="1">
      <c r="B23" s="199"/>
      <c r="C23" s="199"/>
      <c r="D23" s="199"/>
      <c r="E23" s="199"/>
      <c r="F23" s="199"/>
      <c r="G23" s="199"/>
      <c r="H23" s="199"/>
      <c r="I23" s="199"/>
    </row>
    <row r="24" spans="2:13">
      <c r="B24" s="169">
        <f>+B18+1</f>
        <v>5</v>
      </c>
      <c r="C24" s="193"/>
      <c r="D24" s="200" t="s">
        <v>550</v>
      </c>
      <c r="E24" s="184"/>
      <c r="F24" s="185"/>
      <c r="G24" s="1224">
        <f>'WS K TRUE-UP RTEP RR'!N22</f>
        <v>42095283.195419461</v>
      </c>
      <c r="H24" s="185"/>
      <c r="I24" s="189" t="s">
        <v>422</v>
      </c>
      <c r="J24" s="190">
        <v>1</v>
      </c>
      <c r="K24" s="180"/>
      <c r="L24" s="201">
        <f>+J24*G24</f>
        <v>42095283.195419461</v>
      </c>
      <c r="M24" s="164"/>
    </row>
    <row r="25" spans="2:13">
      <c r="B25" s="169"/>
      <c r="C25" s="193"/>
      <c r="D25" s="200"/>
      <c r="E25" s="195"/>
      <c r="F25" s="185"/>
      <c r="G25" s="202"/>
      <c r="H25" s="185"/>
      <c r="I25" s="185"/>
      <c r="J25" s="190"/>
      <c r="K25" s="180"/>
      <c r="L25" s="201"/>
      <c r="M25" s="164"/>
    </row>
    <row r="26" spans="2:13">
      <c r="B26" s="192">
        <f>+B24+1</f>
        <v>6</v>
      </c>
      <c r="C26" s="193"/>
      <c r="D26" s="200" t="s">
        <v>168</v>
      </c>
      <c r="E26" s="184"/>
      <c r="F26" s="164"/>
      <c r="G26" s="203"/>
      <c r="H26" s="164"/>
      <c r="J26" s="164"/>
      <c r="K26" s="164"/>
      <c r="M26" s="164"/>
    </row>
    <row r="27" spans="2:13">
      <c r="B27" s="169">
        <f>B26+1</f>
        <v>7</v>
      </c>
      <c r="C27" s="193"/>
      <c r="D27" s="204" t="s">
        <v>41</v>
      </c>
      <c r="E27" s="180" t="str">
        <f>"( (ln "&amp;B13&amp;"- ln "&amp;B150&amp;")/((ln "&amp;$B$79&amp;" ) x 100) )"</f>
        <v>( (ln 1- ln 80)/((ln 33 ) x 100) )</v>
      </c>
      <c r="F27" s="170"/>
      <c r="G27" s="170"/>
      <c r="H27" s="170"/>
      <c r="I27" s="205"/>
      <c r="J27" s="205"/>
      <c r="K27" s="205"/>
      <c r="L27" s="206">
        <f>IF((L79)=0,0,(L13-L150)/(L79))</f>
        <v>0.17741776903663561</v>
      </c>
      <c r="M27" s="164"/>
    </row>
    <row r="28" spans="2:13">
      <c r="B28" s="169">
        <f>B27+1</f>
        <v>8</v>
      </c>
      <c r="C28" s="193"/>
      <c r="D28" s="204" t="s">
        <v>42</v>
      </c>
      <c r="E28" s="180" t="str">
        <f>"(ln "&amp;B27&amp;" / 12)"</f>
        <v>(ln 7 / 12)</v>
      </c>
      <c r="F28" s="170"/>
      <c r="G28" s="170"/>
      <c r="H28" s="170"/>
      <c r="I28" s="205"/>
      <c r="J28" s="205"/>
      <c r="K28" s="205"/>
      <c r="L28" s="207">
        <f>L27/12</f>
        <v>1.4784814086386301E-2</v>
      </c>
      <c r="M28" s="164"/>
    </row>
    <row r="29" spans="2:13">
      <c r="B29" s="169"/>
      <c r="C29" s="193"/>
      <c r="D29" s="204"/>
      <c r="E29" s="180"/>
      <c r="F29" s="170"/>
      <c r="G29" s="170"/>
      <c r="H29" s="170"/>
      <c r="I29" s="205"/>
      <c r="J29" s="205"/>
      <c r="K29" s="205"/>
      <c r="L29" s="207"/>
      <c r="M29" s="164"/>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c r="B31" s="169">
        <f>B30+1</f>
        <v>10</v>
      </c>
      <c r="C31" s="193"/>
      <c r="D31" s="204" t="s">
        <v>41</v>
      </c>
      <c r="E31" s="180" t="str">
        <f>"( (ln "&amp;B13&amp;"- ln "&amp;B150&amp;" - ln "&amp;B154&amp;")/((ln "&amp;$B$79&amp;") x 100) )"</f>
        <v>( (ln 1- ln 80 - ln 83)/((ln 33) x 100) )</v>
      </c>
      <c r="F31" s="170"/>
      <c r="G31" s="170"/>
      <c r="H31" s="170"/>
      <c r="I31" s="205"/>
      <c r="J31" s="205"/>
      <c r="K31" s="205"/>
      <c r="L31" s="206">
        <f>IF(L79=0,0,(L13-L150-L154)/L79)</f>
        <v>0.14450383244078713</v>
      </c>
      <c r="M31" s="164"/>
    </row>
    <row r="32" spans="2:13">
      <c r="B32" s="169"/>
      <c r="C32" s="193"/>
      <c r="D32" s="204"/>
      <c r="E32" s="180"/>
      <c r="F32" s="170"/>
      <c r="G32" s="170"/>
      <c r="H32" s="170"/>
      <c r="I32" s="205"/>
      <c r="J32" s="205"/>
      <c r="K32" s="205"/>
      <c r="L32" s="207"/>
      <c r="M32" s="164"/>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1" t="s">
        <v>41</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6.1366530490332014E-2</v>
      </c>
      <c r="M34" s="172"/>
    </row>
    <row r="35" spans="2:13">
      <c r="B35" s="169"/>
      <c r="C35" s="193"/>
      <c r="D35" s="161"/>
      <c r="E35" s="180"/>
      <c r="F35" s="170"/>
      <c r="G35" s="170"/>
      <c r="H35" s="170"/>
      <c r="I35" s="205"/>
      <c r="J35" s="205"/>
      <c r="K35" s="205"/>
      <c r="L35" s="206"/>
      <c r="M35" s="210"/>
    </row>
    <row r="36" spans="2:13">
      <c r="B36" s="169">
        <f>B34+1</f>
        <v>13</v>
      </c>
      <c r="C36" s="170"/>
      <c r="D36" s="211" t="s">
        <v>551</v>
      </c>
      <c r="E36" s="180"/>
      <c r="F36" s="170"/>
      <c r="G36" s="170"/>
      <c r="H36" s="170"/>
      <c r="I36" s="205"/>
      <c r="J36" s="205"/>
      <c r="K36" s="205"/>
      <c r="L36" s="418">
        <f>+'WS J PROJECTED RTEP RR'!O26</f>
        <v>0</v>
      </c>
      <c r="M36" s="164"/>
    </row>
    <row r="37" spans="2:13">
      <c r="B37" s="169"/>
      <c r="C37" s="170"/>
      <c r="E37" s="180"/>
      <c r="F37" s="170"/>
      <c r="G37" s="170"/>
      <c r="H37" s="170"/>
      <c r="I37" s="205"/>
      <c r="J37" s="205"/>
      <c r="K37" s="205"/>
      <c r="L37" s="206"/>
      <c r="M37" s="164"/>
    </row>
    <row r="38" spans="2:13">
      <c r="B38" s="154"/>
      <c r="C38" s="170"/>
      <c r="E38" s="180"/>
      <c r="F38" s="170"/>
      <c r="G38" s="170"/>
      <c r="H38" s="170"/>
      <c r="I38" s="205"/>
      <c r="J38" s="205"/>
      <c r="K38" s="205"/>
      <c r="L38" s="206"/>
      <c r="M38" s="164"/>
    </row>
    <row r="39" spans="2:13" ht="15.75">
      <c r="B39" s="169">
        <f>+B36+1</f>
        <v>14</v>
      </c>
      <c r="C39" s="170"/>
      <c r="D39" s="1469" t="s">
        <v>207</v>
      </c>
      <c r="E39" s="1469"/>
      <c r="F39" s="1469"/>
      <c r="G39" s="1469"/>
      <c r="H39" s="1469"/>
      <c r="I39" s="1469"/>
      <c r="J39" s="1469"/>
      <c r="K39" s="1469"/>
      <c r="L39" s="1469"/>
      <c r="M39" s="164"/>
    </row>
    <row r="40" spans="2:13">
      <c r="B40" s="169"/>
      <c r="C40" s="170"/>
      <c r="E40" s="180"/>
      <c r="F40" s="170"/>
      <c r="G40" s="170"/>
      <c r="H40" s="170"/>
      <c r="I40" s="205"/>
      <c r="J40" s="205"/>
      <c r="K40" s="205"/>
      <c r="L40" s="206"/>
      <c r="M40" s="164"/>
    </row>
    <row r="41" spans="2:13">
      <c r="B41" s="169">
        <f>+B39+1</f>
        <v>15</v>
      </c>
      <c r="C41" s="170"/>
      <c r="D41" s="179" t="s">
        <v>209</v>
      </c>
      <c r="E41" s="180" t="str">
        <f>"Line "&amp;B131&amp;" Below"</f>
        <v>Line 63 Below</v>
      </c>
      <c r="F41" s="170"/>
      <c r="H41" s="170"/>
      <c r="I41" s="205"/>
      <c r="J41" s="205"/>
      <c r="K41" s="205"/>
      <c r="L41" s="212">
        <f>+G131</f>
        <v>1057935.32</v>
      </c>
      <c r="M41" s="164"/>
    </row>
    <row r="42" spans="2:13">
      <c r="B42" s="169">
        <f>+B41+1</f>
        <v>16</v>
      </c>
      <c r="C42" s="170"/>
      <c r="D42" s="179" t="s">
        <v>274</v>
      </c>
      <c r="E42" s="164"/>
      <c r="F42" s="170"/>
      <c r="H42" s="170"/>
      <c r="I42" s="205"/>
      <c r="J42" s="205"/>
      <c r="K42" s="205"/>
      <c r="L42" s="144">
        <f>'WS F Misc Exp'!D28</f>
        <v>0</v>
      </c>
      <c r="M42" s="164"/>
    </row>
    <row r="43" spans="2:13">
      <c r="B43" s="169">
        <f>+B42+1</f>
        <v>17</v>
      </c>
      <c r="C43" s="170"/>
      <c r="D43" s="179" t="s">
        <v>275</v>
      </c>
      <c r="E43" s="164"/>
      <c r="F43" s="170"/>
      <c r="H43" s="170"/>
      <c r="I43" s="205"/>
      <c r="J43" s="205"/>
      <c r="K43" s="205"/>
      <c r="L43" s="144">
        <f>'WS F Misc Exp'!D32</f>
        <v>0</v>
      </c>
      <c r="M43" s="164"/>
    </row>
    <row r="44" spans="2:13">
      <c r="B44" s="169"/>
      <c r="C44" s="170"/>
      <c r="E44" s="164"/>
      <c r="F44" s="170"/>
      <c r="H44" s="170"/>
      <c r="I44" s="205"/>
      <c r="J44" s="205"/>
      <c r="K44" s="205"/>
      <c r="L44" s="170"/>
      <c r="M44" s="164"/>
    </row>
    <row r="45" spans="2:13" ht="15.75" thickBot="1">
      <c r="B45" s="169">
        <f>+B43+1</f>
        <v>18</v>
      </c>
      <c r="C45" s="170"/>
      <c r="D45" s="179" t="s">
        <v>208</v>
      </c>
      <c r="E45" s="182" t="str">
        <f>"(Line "&amp;B41&amp;" - Line "&amp;B42&amp;" - Line "&amp;B43&amp;")"</f>
        <v>(Line 15 - Line 16 - Line 17)</v>
      </c>
      <c r="F45" s="170"/>
      <c r="H45" s="170"/>
      <c r="I45" s="205"/>
      <c r="J45" s="205"/>
      <c r="K45" s="205"/>
      <c r="L45" s="213">
        <f>+L41-L42-L43</f>
        <v>1057935.32</v>
      </c>
      <c r="M45" s="164"/>
    </row>
    <row r="46" spans="2:13" ht="15.75" thickTop="1">
      <c r="B46" s="169"/>
      <c r="C46" s="170"/>
      <c r="E46" s="180"/>
      <c r="F46" s="170"/>
      <c r="G46" s="170"/>
      <c r="H46" s="170"/>
      <c r="I46" s="205"/>
      <c r="J46" s="205"/>
      <c r="K46" s="205"/>
      <c r="L46" s="206"/>
      <c r="M46" s="164"/>
    </row>
    <row r="47" spans="2:13">
      <c r="B47" s="169"/>
      <c r="C47" s="170"/>
      <c r="E47" s="180"/>
      <c r="F47" s="170"/>
      <c r="G47" s="170"/>
      <c r="H47" s="170"/>
      <c r="I47" s="205"/>
      <c r="J47" s="205"/>
      <c r="K47" s="205"/>
      <c r="L47" s="206"/>
      <c r="M47" s="164"/>
    </row>
    <row r="48" spans="2:13">
      <c r="B48" s="169"/>
      <c r="C48" s="170"/>
      <c r="E48" s="180"/>
      <c r="F48" s="170"/>
      <c r="G48" s="170"/>
      <c r="H48" s="170"/>
      <c r="I48" s="205"/>
      <c r="J48" s="205"/>
      <c r="K48" s="205"/>
      <c r="L48" s="206"/>
      <c r="M48" s="164"/>
    </row>
    <row r="49" spans="2:16">
      <c r="D49" s="161"/>
      <c r="E49" s="161"/>
      <c r="G49" s="182"/>
      <c r="H49" s="161"/>
      <c r="I49" s="161"/>
      <c r="J49" s="161"/>
      <c r="K49" s="161"/>
      <c r="L49" s="161"/>
      <c r="M49" s="214"/>
    </row>
    <row r="50" spans="2:16">
      <c r="D50" s="161"/>
      <c r="E50" s="161"/>
      <c r="F50" s="170"/>
      <c r="G50" s="182"/>
      <c r="H50" s="161"/>
      <c r="I50" s="161"/>
      <c r="J50" s="161"/>
      <c r="K50" s="161"/>
      <c r="L50" s="161"/>
      <c r="M50" s="214"/>
      <c r="P50" s="215"/>
    </row>
    <row r="51" spans="2:16">
      <c r="D51" s="161"/>
      <c r="E51" s="161"/>
      <c r="F51" s="170" t="str">
        <f>F5</f>
        <v>AEPTCo subsidiaries in PJM</v>
      </c>
      <c r="G51" s="182"/>
      <c r="H51" s="161"/>
      <c r="I51" s="161"/>
      <c r="J51" s="161"/>
      <c r="K51" s="161"/>
      <c r="L51" s="161"/>
      <c r="M51" s="214"/>
      <c r="P51" s="215"/>
    </row>
    <row r="52" spans="2:16">
      <c r="D52" s="161"/>
      <c r="E52" s="167"/>
      <c r="F52" s="170" t="str">
        <f>F6</f>
        <v>Transmission Cost of Service Formula Rate</v>
      </c>
      <c r="G52" s="167"/>
      <c r="H52" s="167"/>
      <c r="I52" s="167"/>
      <c r="J52" s="167"/>
      <c r="K52" s="167"/>
      <c r="L52" s="167"/>
      <c r="M52" s="216"/>
      <c r="P52" s="217"/>
    </row>
    <row r="53" spans="2:16">
      <c r="D53" s="161"/>
      <c r="E53" s="167"/>
      <c r="F53" s="196" t="str">
        <f>F7</f>
        <v>Utilizing  Actual/Projected FERC Form 1 Data</v>
      </c>
      <c r="G53" s="167"/>
      <c r="H53" s="167"/>
      <c r="I53" s="167"/>
      <c r="J53" s="167"/>
      <c r="K53" s="167"/>
      <c r="L53" s="167"/>
      <c r="M53" s="218"/>
      <c r="P53" s="217"/>
    </row>
    <row r="54" spans="2:16">
      <c r="D54" s="161"/>
      <c r="E54" s="167"/>
      <c r="F54" s="170"/>
      <c r="G54" s="167"/>
      <c r="H54" s="167"/>
      <c r="I54" s="167"/>
      <c r="J54" s="167"/>
      <c r="K54" s="167"/>
      <c r="L54" s="167"/>
      <c r="M54" s="167"/>
      <c r="P54" s="217"/>
    </row>
    <row r="55" spans="2:16">
      <c r="D55" s="161"/>
      <c r="E55" s="167"/>
      <c r="F55" s="170" t="str">
        <f>F9</f>
        <v>AEP Ohio Transmission Company</v>
      </c>
      <c r="G55" s="167"/>
      <c r="H55" s="167"/>
      <c r="I55" s="167"/>
      <c r="J55" s="167"/>
      <c r="K55" s="167"/>
      <c r="L55" s="167"/>
      <c r="M55" s="167"/>
      <c r="P55" s="217"/>
    </row>
    <row r="56" spans="2:16">
      <c r="D56" s="161"/>
      <c r="E56" s="196"/>
      <c r="F56" s="196"/>
      <c r="G56" s="196"/>
      <c r="H56" s="196"/>
      <c r="I56" s="196"/>
      <c r="J56" s="196"/>
      <c r="K56" s="196"/>
      <c r="L56" s="167"/>
      <c r="M56" s="167"/>
      <c r="P56" s="217"/>
    </row>
    <row r="57" spans="2:16">
      <c r="D57" s="170" t="s">
        <v>415</v>
      </c>
      <c r="E57" s="170" t="s">
        <v>416</v>
      </c>
      <c r="F57" s="170"/>
      <c r="G57" s="170" t="s">
        <v>417</v>
      </c>
      <c r="H57" s="167" t="s">
        <v>408</v>
      </c>
      <c r="I57" s="1464" t="s">
        <v>418</v>
      </c>
      <c r="J57" s="1465"/>
      <c r="K57" s="167"/>
      <c r="L57" s="171" t="s">
        <v>419</v>
      </c>
      <c r="M57" s="167"/>
    </row>
    <row r="58" spans="2:16">
      <c r="B58" s="154"/>
      <c r="D58" s="208"/>
      <c r="E58" s="208"/>
      <c r="F58" s="208"/>
      <c r="G58" s="212"/>
      <c r="H58" s="167"/>
      <c r="I58" s="167"/>
      <c r="J58" s="220"/>
      <c r="K58" s="167"/>
      <c r="M58" s="167"/>
    </row>
    <row r="59" spans="2:16" ht="15.75">
      <c r="B59" s="221"/>
      <c r="C59" s="170"/>
      <c r="D59" s="208"/>
      <c r="E59" s="222" t="s">
        <v>388</v>
      </c>
      <c r="F59" s="223"/>
      <c r="G59" s="167"/>
      <c r="H59" s="167"/>
      <c r="I59" s="167"/>
      <c r="J59" s="170"/>
      <c r="K59" s="167"/>
      <c r="L59" s="224" t="s">
        <v>412</v>
      </c>
      <c r="M59" s="167"/>
      <c r="P59" s="215"/>
    </row>
    <row r="60" spans="2:16" ht="15.75">
      <c r="B60" s="154"/>
      <c r="C60" s="177"/>
      <c r="D60" s="225" t="s">
        <v>387</v>
      </c>
      <c r="E60" s="226" t="s">
        <v>406</v>
      </c>
      <c r="F60" s="167"/>
      <c r="G60" s="225" t="s">
        <v>374</v>
      </c>
      <c r="H60" s="227"/>
      <c r="I60" s="1466" t="s">
        <v>413</v>
      </c>
      <c r="J60" s="1467"/>
      <c r="K60" s="227"/>
      <c r="L60" s="225" t="s">
        <v>409</v>
      </c>
      <c r="M60" s="167"/>
    </row>
    <row r="61" spans="2:16">
      <c r="B61" s="228" t="str">
        <f>B11</f>
        <v>Line</v>
      </c>
      <c r="C61" s="170"/>
      <c r="D61" s="161"/>
      <c r="E61" s="167"/>
      <c r="F61" s="167"/>
      <c r="G61" s="229" t="s">
        <v>148</v>
      </c>
      <c r="H61" s="167"/>
      <c r="I61" s="167"/>
      <c r="J61" s="167"/>
      <c r="K61" s="167"/>
      <c r="L61" s="167"/>
      <c r="M61" s="167"/>
    </row>
    <row r="62" spans="2:16" ht="15.75" thickBot="1">
      <c r="B62" s="176" t="str">
        <f>B12</f>
        <v>No.</v>
      </c>
      <c r="C62" s="170"/>
      <c r="D62" s="161" t="s">
        <v>375</v>
      </c>
      <c r="E62" s="230"/>
      <c r="F62" s="230"/>
      <c r="G62" s="185"/>
      <c r="H62" s="185"/>
      <c r="I62" s="189"/>
      <c r="J62" s="185"/>
      <c r="K62" s="185"/>
      <c r="L62" s="185"/>
      <c r="M62" s="167"/>
    </row>
    <row r="63" spans="2:16">
      <c r="B63" s="169">
        <f>+B45+1</f>
        <v>19</v>
      </c>
      <c r="C63" s="232"/>
      <c r="D63" s="233" t="s">
        <v>421</v>
      </c>
      <c r="E63" s="185" t="str">
        <f>"(Worksheet A ln "&amp;'WS A - Rate Base Support'!A23&amp;"."&amp;'WS A - Rate Base Support'!C8 &amp;" &amp; Ln "&amp;B207&amp;")"</f>
        <v>(Worksheet A ln 14.(d) &amp; Ln 117)</v>
      </c>
      <c r="F63" s="234"/>
      <c r="G63" s="202">
        <f>'WS A - Rate Base Support'!C23</f>
        <v>5269420774.6530771</v>
      </c>
      <c r="H63" s="202"/>
      <c r="I63" s="235" t="s">
        <v>422</v>
      </c>
      <c r="J63" s="190">
        <v>1</v>
      </c>
      <c r="K63" s="236"/>
      <c r="L63" s="237">
        <f>+L207</f>
        <v>5269420774.6530771</v>
      </c>
      <c r="M63" s="238"/>
    </row>
    <row r="64" spans="2:16">
      <c r="B64" s="169">
        <f>+B63+1</f>
        <v>20</v>
      </c>
      <c r="C64" s="232"/>
      <c r="D64" s="239" t="s">
        <v>171</v>
      </c>
      <c r="E64" s="185" t="str">
        <f>"(Worksheet A ln "&amp;'WS A - Rate Base Support'!A23&amp;"."&amp;'WS A - Rate Base Support'!D8 &amp;")"</f>
        <v>(Worksheet A ln 14.(e))</v>
      </c>
      <c r="F64" s="234"/>
      <c r="G64" s="202">
        <f>'WS A - Rate Base Support'!D23</f>
        <v>0</v>
      </c>
      <c r="H64" s="202"/>
      <c r="I64" s="235" t="s">
        <v>414</v>
      </c>
      <c r="J64" s="190">
        <f>J134</f>
        <v>1</v>
      </c>
      <c r="K64" s="236"/>
      <c r="L64" s="237">
        <f>+G64*J64</f>
        <v>0</v>
      </c>
      <c r="M64" s="238"/>
    </row>
    <row r="65" spans="2:15">
      <c r="B65" s="169">
        <f>+B64+1</f>
        <v>21</v>
      </c>
      <c r="C65" s="232"/>
      <c r="D65" s="161" t="s">
        <v>423</v>
      </c>
      <c r="E65" s="185" t="str">
        <f>"(Worksheet A ln "&amp;'WS A - Rate Base Support'!A23&amp;"."&amp;'WS A - Rate Base Support'!E8 &amp;")"</f>
        <v>(Worksheet A ln 14.(h))</v>
      </c>
      <c r="F65" s="185"/>
      <c r="G65" s="202">
        <f>'WS A - Rate Base Support'!E23</f>
        <v>182037447.8323077</v>
      </c>
      <c r="H65" s="202"/>
      <c r="I65" s="189" t="s">
        <v>424</v>
      </c>
      <c r="J65" s="190">
        <f>L219</f>
        <v>1</v>
      </c>
      <c r="K65" s="185"/>
      <c r="L65" s="202">
        <f>+J65*G65</f>
        <v>182037447.8323077</v>
      </c>
      <c r="M65" s="167"/>
    </row>
    <row r="66" spans="2:15">
      <c r="B66" s="169">
        <f>+B65+1</f>
        <v>22</v>
      </c>
      <c r="C66" s="232"/>
      <c r="D66" s="240" t="s">
        <v>170</v>
      </c>
      <c r="E66" s="185" t="str">
        <f>"(Worksheet A ln "&amp;'WS A - Rate Base Support'!A23&amp;"."&amp;'WS A - Rate Base Support'!F8 &amp;")"</f>
        <v>(Worksheet A ln 14.(i))</v>
      </c>
      <c r="F66" s="185"/>
      <c r="G66" s="202">
        <f>'WS A - Rate Base Support'!F23</f>
        <v>0</v>
      </c>
      <c r="H66" s="202"/>
      <c r="I66" s="189" t="s">
        <v>424</v>
      </c>
      <c r="J66" s="190">
        <f>L219</f>
        <v>1</v>
      </c>
      <c r="K66" s="185"/>
      <c r="L66" s="202">
        <f>+G66*J66</f>
        <v>0</v>
      </c>
      <c r="M66" s="167"/>
    </row>
    <row r="67" spans="2:15" ht="15.75" thickBot="1">
      <c r="B67" s="169">
        <f>+B66+1</f>
        <v>23</v>
      </c>
      <c r="C67" s="232"/>
      <c r="D67" s="161" t="s">
        <v>425</v>
      </c>
      <c r="E67" s="185" t="str">
        <f>"(Worksheet A ln "&amp;'WS A - Rate Base Support'!A23&amp;"."&amp;'WS A - Rate Base Support'!G8 &amp;")"</f>
        <v>(Worksheet A ln 14.(j))</v>
      </c>
      <c r="F67" s="185"/>
      <c r="G67" s="241">
        <f>'WS A - Rate Base Support'!G23</f>
        <v>57528305.524615392</v>
      </c>
      <c r="H67" s="202"/>
      <c r="I67" s="189" t="s">
        <v>424</v>
      </c>
      <c r="J67" s="190">
        <f>L219</f>
        <v>1</v>
      </c>
      <c r="K67" s="185"/>
      <c r="L67" s="241">
        <f>+J67*G67</f>
        <v>57528305.524615392</v>
      </c>
      <c r="M67" s="167"/>
      <c r="N67" s="161"/>
      <c r="O67" s="161"/>
    </row>
    <row r="68" spans="2:15" ht="15.75">
      <c r="B68" s="169">
        <f>+B67+1</f>
        <v>24</v>
      </c>
      <c r="C68" s="232"/>
      <c r="D68" s="161" t="s">
        <v>373</v>
      </c>
      <c r="E68" s="185" t="str">
        <f>"(Sum of Lines: "&amp;B63&amp;" to "&amp;B67&amp;")"</f>
        <v>(Sum of Lines: 19 to 23)</v>
      </c>
      <c r="F68" s="242"/>
      <c r="G68" s="202">
        <f>SUM(G63:G67)</f>
        <v>5508986528.0100002</v>
      </c>
      <c r="H68" s="202"/>
      <c r="I68" s="243" t="s">
        <v>756</v>
      </c>
      <c r="J68" s="244">
        <f>IF(G68=0,0,L68/G68)</f>
        <v>1</v>
      </c>
      <c r="K68" s="185"/>
      <c r="L68" s="202">
        <f>SUM(L63:L67)</f>
        <v>5508986528.0100002</v>
      </c>
      <c r="M68" s="167"/>
      <c r="N68" s="161"/>
      <c r="O68" s="161"/>
    </row>
    <row r="69" spans="2:15" ht="15.75">
      <c r="B69" s="169"/>
      <c r="C69" s="170"/>
      <c r="D69" s="161"/>
      <c r="E69" s="1216"/>
      <c r="F69" s="242"/>
      <c r="G69" s="202"/>
      <c r="H69" s="202"/>
      <c r="I69" s="243" t="s">
        <v>500</v>
      </c>
      <c r="J69" s="245">
        <f>+IF(L63=0,0,L63/(G63))</f>
        <v>1</v>
      </c>
      <c r="K69" s="185"/>
      <c r="L69" s="202"/>
      <c r="M69" s="167"/>
      <c r="N69" s="246"/>
      <c r="O69" s="161"/>
    </row>
    <row r="70" spans="2:15">
      <c r="B70" s="169">
        <f>+B68+1</f>
        <v>25</v>
      </c>
      <c r="C70" s="170"/>
      <c r="D70" s="161" t="s">
        <v>353</v>
      </c>
      <c r="E70" s="230"/>
      <c r="F70" s="230"/>
      <c r="G70" s="202"/>
      <c r="H70" s="247"/>
      <c r="I70" s="189"/>
      <c r="J70" s="248"/>
      <c r="K70" s="185"/>
      <c r="L70" s="202"/>
      <c r="M70" s="167"/>
      <c r="N70" s="167"/>
      <c r="O70" s="167"/>
    </row>
    <row r="71" spans="2:15"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667623825.84615374</v>
      </c>
      <c r="H71" s="202"/>
      <c r="I71" s="249" t="s">
        <v>356</v>
      </c>
      <c r="J71" s="250">
        <f>IF(G71=0,1,L71/G71)</f>
        <v>1</v>
      </c>
      <c r="K71" s="236"/>
      <c r="L71" s="202">
        <f>'WS A - Rate Base Support'!C64</f>
        <v>667623825.84615374</v>
      </c>
      <c r="M71" s="238"/>
      <c r="N71" s="167"/>
      <c r="O71" s="167"/>
    </row>
    <row r="72" spans="2:15" ht="15.75">
      <c r="B72" s="169">
        <f t="shared" si="0"/>
        <v>27</v>
      </c>
      <c r="C72" s="232"/>
      <c r="D72" s="240" t="s">
        <v>171</v>
      </c>
      <c r="E72" s="185" t="str">
        <f>"(Worksheet A ln "&amp;'WS A - Rate Base Support'!A42&amp;"."&amp;'WS A - Rate Base Support'!D27 &amp;")"</f>
        <v>(Worksheet A ln 28.(e))</v>
      </c>
      <c r="F72" s="234"/>
      <c r="G72" s="202">
        <f>'WS A - Rate Base Support'!D42</f>
        <v>0</v>
      </c>
      <c r="H72" s="202"/>
      <c r="I72" s="249" t="s">
        <v>356</v>
      </c>
      <c r="J72" s="190">
        <f>+J71</f>
        <v>1</v>
      </c>
      <c r="K72" s="236"/>
      <c r="L72" s="202">
        <f>+J72*G72</f>
        <v>0</v>
      </c>
      <c r="M72" s="238"/>
      <c r="N72" s="167"/>
      <c r="O72" s="167"/>
    </row>
    <row r="73" spans="2:15">
      <c r="B73" s="169">
        <f t="shared" si="0"/>
        <v>28</v>
      </c>
      <c r="C73" s="251"/>
      <c r="D73" s="204" t="str">
        <f>+D65</f>
        <v xml:space="preserve">  General Plant   </v>
      </c>
      <c r="E73" s="185" t="str">
        <f>"(Worksheet A ln "&amp;'WS A - Rate Base Support'!A42&amp;"."&amp;'WS A - Rate Base Support'!E27 &amp;")"</f>
        <v>(Worksheet A ln 28.(h))</v>
      </c>
      <c r="F73" s="185"/>
      <c r="G73" s="188">
        <f>'WS A - Rate Base Support'!E42</f>
        <v>20592546.719230775</v>
      </c>
      <c r="H73" s="202"/>
      <c r="I73" s="189" t="s">
        <v>424</v>
      </c>
      <c r="J73" s="190">
        <f>L219</f>
        <v>1</v>
      </c>
      <c r="K73" s="185"/>
      <c r="L73" s="202">
        <f>+J73*G73</f>
        <v>20592546.719230775</v>
      </c>
      <c r="M73" s="167"/>
      <c r="N73" s="167"/>
      <c r="O73" s="167"/>
    </row>
    <row r="74" spans="2:15">
      <c r="B74" s="169">
        <f t="shared" si="0"/>
        <v>29</v>
      </c>
      <c r="C74" s="251"/>
      <c r="D74" s="240" t="s">
        <v>170</v>
      </c>
      <c r="E74" s="185" t="str">
        <f>"(Worksheet A ln "&amp;'WS A - Rate Base Support'!A42&amp;"."&amp;'WS A - Rate Base Support'!F27 &amp;")"</f>
        <v>(Worksheet A ln 28.(i))</v>
      </c>
      <c r="F74" s="185"/>
      <c r="G74" s="202">
        <f>'WS A - Rate Base Support'!F42</f>
        <v>0</v>
      </c>
      <c r="H74" s="202"/>
      <c r="I74" s="189" t="s">
        <v>424</v>
      </c>
      <c r="J74" s="190">
        <f>L219</f>
        <v>1</v>
      </c>
      <c r="K74" s="185"/>
      <c r="L74" s="202">
        <f>+J74*G74</f>
        <v>0</v>
      </c>
      <c r="M74" s="167"/>
      <c r="N74" s="167"/>
      <c r="O74" s="167"/>
    </row>
    <row r="75" spans="2:15" ht="15.75" thickBot="1">
      <c r="B75" s="169">
        <f t="shared" si="0"/>
        <v>30</v>
      </c>
      <c r="C75" s="251"/>
      <c r="D75" s="204" t="str">
        <f>+D67</f>
        <v xml:space="preserve">  Intangible Plant</v>
      </c>
      <c r="E75" s="185" t="str">
        <f>"(Worksheet A ln "&amp;'WS A - Rate Base Support'!A42&amp;"."&amp;'WS A - Rate Base Support'!G27 &amp;")"</f>
        <v>(Worksheet A ln 28.(j))</v>
      </c>
      <c r="F75" s="185"/>
      <c r="G75" s="241">
        <f>'WS A - Rate Base Support'!G42</f>
        <v>23076195.346153852</v>
      </c>
      <c r="H75" s="202"/>
      <c r="I75" s="189" t="s">
        <v>424</v>
      </c>
      <c r="J75" s="190">
        <f>L219</f>
        <v>1</v>
      </c>
      <c r="K75" s="185"/>
      <c r="L75" s="1139">
        <f>+J75*G75</f>
        <v>23076195.346153852</v>
      </c>
      <c r="M75" s="185"/>
      <c r="N75" s="167"/>
      <c r="O75" s="167"/>
    </row>
    <row r="76" spans="2:15">
      <c r="B76" s="169">
        <f t="shared" si="0"/>
        <v>31</v>
      </c>
      <c r="C76" s="251"/>
      <c r="D76" s="204" t="s">
        <v>372</v>
      </c>
      <c r="E76" s="185" t="str">
        <f>"(Sum of Lines: "&amp;B71&amp;" to "&amp;B75&amp;")"</f>
        <v>(Sum of Lines: 26 to 30)</v>
      </c>
      <c r="F76" s="252"/>
      <c r="G76" s="202">
        <f>SUM(G71:G75)</f>
        <v>711292567.91153836</v>
      </c>
      <c r="H76" s="202"/>
      <c r="I76" s="189"/>
      <c r="J76" s="185"/>
      <c r="K76" s="202"/>
      <c r="L76" s="202">
        <f>SUM(L71:L75)</f>
        <v>711292567.91153836</v>
      </c>
      <c r="M76" s="167"/>
      <c r="N76" s="167"/>
      <c r="O76" s="167"/>
    </row>
    <row r="77" spans="2:15">
      <c r="B77" s="169"/>
      <c r="C77" s="170"/>
      <c r="E77" s="253"/>
      <c r="F77" s="252"/>
      <c r="G77" s="202"/>
      <c r="H77" s="202"/>
      <c r="I77" s="189"/>
      <c r="J77" s="254"/>
      <c r="K77" s="185"/>
      <c r="L77" s="202"/>
      <c r="M77" s="167"/>
      <c r="N77" s="167"/>
      <c r="O77" s="167"/>
    </row>
    <row r="78" spans="2:15">
      <c r="B78" s="169">
        <f>+B76+1</f>
        <v>32</v>
      </c>
      <c r="C78" s="170"/>
      <c r="D78" s="161" t="s">
        <v>376</v>
      </c>
      <c r="E78" s="230"/>
      <c r="F78" s="230"/>
      <c r="G78" s="202"/>
      <c r="H78" s="202"/>
      <c r="I78" s="189"/>
      <c r="J78" s="185"/>
      <c r="K78" s="185"/>
      <c r="L78" s="202"/>
      <c r="M78" s="167"/>
      <c r="N78" s="167"/>
      <c r="O78" s="167"/>
    </row>
    <row r="79" spans="2:15">
      <c r="B79" s="255">
        <f>+B78+1</f>
        <v>33</v>
      </c>
      <c r="C79" s="232"/>
      <c r="D79" s="240" t="str">
        <f>+D71</f>
        <v xml:space="preserve">  Transmission</v>
      </c>
      <c r="E79" s="185" t="str">
        <f>" (ln "&amp;B63&amp;" + ln "&amp;B64&amp;" - ln "&amp;B71&amp;" - ln "&amp;B72&amp;")"</f>
        <v xml:space="preserve"> (ln 19 + ln 20 - ln 26 - ln 27)</v>
      </c>
      <c r="F79" s="185"/>
      <c r="G79" s="202">
        <f>+G63+G64-G71-G72</f>
        <v>4601796948.8069229</v>
      </c>
      <c r="H79" s="202"/>
      <c r="I79" s="189"/>
      <c r="J79" s="250"/>
      <c r="K79" s="185"/>
      <c r="L79" s="202">
        <f>+L63+L64-L71-L72</f>
        <v>4601796948.8069229</v>
      </c>
      <c r="M79" s="167"/>
      <c r="N79" s="167"/>
      <c r="O79" s="167"/>
    </row>
    <row r="80" spans="2:15">
      <c r="B80" s="169">
        <f>+B79+1</f>
        <v>34</v>
      </c>
      <c r="C80" s="232"/>
      <c r="D80" s="240" t="str">
        <f>+D73</f>
        <v xml:space="preserve">  General Plant   </v>
      </c>
      <c r="E80" s="185" t="str">
        <f>" (ln "&amp;B65&amp;" + ln "&amp;B66&amp;" - ln "&amp;B73&amp;" - ln "&amp;B74&amp;")"</f>
        <v xml:space="preserve"> (ln 21 + ln 22 - ln 28 - ln 29)</v>
      </c>
      <c r="F80" s="185"/>
      <c r="G80" s="202">
        <f>+G65+G66-G73-G74</f>
        <v>161444901.11307693</v>
      </c>
      <c r="H80" s="202"/>
      <c r="I80" s="189"/>
      <c r="J80" s="254"/>
      <c r="K80" s="185"/>
      <c r="L80" s="202">
        <f>+L65+L66-L73-L74</f>
        <v>161444901.11307693</v>
      </c>
      <c r="M80" s="167"/>
      <c r="N80" s="167"/>
      <c r="O80" s="167"/>
    </row>
    <row r="81" spans="2:15" ht="15.75" thickBot="1">
      <c r="B81" s="169">
        <f>+B80+1</f>
        <v>35</v>
      </c>
      <c r="C81" s="232"/>
      <c r="D81" s="240" t="str">
        <f>+D75</f>
        <v xml:space="preserve">  Intangible Plant</v>
      </c>
      <c r="E81" s="185" t="str">
        <f>" (ln "&amp;B67&amp;" - ln "&amp;B75&amp;")"</f>
        <v xml:space="preserve"> (ln 23 - ln 30)</v>
      </c>
      <c r="F81" s="185"/>
      <c r="G81" s="241">
        <f>+G67-G75</f>
        <v>34452110.178461537</v>
      </c>
      <c r="H81" s="202"/>
      <c r="I81" s="189"/>
      <c r="J81" s="254"/>
      <c r="K81" s="185"/>
      <c r="L81" s="241">
        <f>+L67-L75</f>
        <v>34452110.178461537</v>
      </c>
      <c r="M81" s="167"/>
      <c r="N81" s="167"/>
      <c r="O81" s="167"/>
    </row>
    <row r="82" spans="2:15" ht="15.75">
      <c r="B82" s="169">
        <f>+B81+1</f>
        <v>36</v>
      </c>
      <c r="C82" s="232"/>
      <c r="D82" s="240" t="s">
        <v>371</v>
      </c>
      <c r="E82" s="185" t="str">
        <f>"(Sum of Lines: "&amp;B79&amp;" to "&amp;B81&amp;")"</f>
        <v>(Sum of Lines: 33 to 35)</v>
      </c>
      <c r="F82" s="185"/>
      <c r="G82" s="202">
        <f>SUM(G79:G81)</f>
        <v>4797693960.0984612</v>
      </c>
      <c r="H82" s="202"/>
      <c r="I82" s="258" t="s">
        <v>757</v>
      </c>
      <c r="J82" s="244">
        <f>IF(G82=0,0,+L82/G82)</f>
        <v>1</v>
      </c>
      <c r="K82" s="185"/>
      <c r="L82" s="202">
        <f>SUM(L79:L81)</f>
        <v>4797693960.0984612</v>
      </c>
      <c r="M82" s="167"/>
      <c r="N82" s="167"/>
      <c r="O82" s="167"/>
    </row>
    <row r="83" spans="2:15">
      <c r="B83" s="169"/>
      <c r="C83" s="170"/>
      <c r="D83" s="161"/>
      <c r="E83" s="185"/>
      <c r="F83" s="185"/>
      <c r="G83" s="202"/>
      <c r="H83" s="202"/>
      <c r="I83" s="159"/>
      <c r="J83" s="259"/>
      <c r="K83" s="185"/>
      <c r="L83" s="202"/>
      <c r="M83" s="167"/>
      <c r="N83" s="167"/>
      <c r="O83" s="167"/>
    </row>
    <row r="84" spans="2:15">
      <c r="B84" s="169"/>
      <c r="C84" s="170"/>
      <c r="G84" s="208"/>
      <c r="H84" s="208"/>
      <c r="I84" s="208"/>
      <c r="J84" s="208"/>
      <c r="K84" s="208"/>
      <c r="L84" s="208"/>
      <c r="M84" s="172"/>
      <c r="N84" s="167"/>
      <c r="O84" s="167"/>
    </row>
    <row r="85" spans="2:15">
      <c r="B85" s="169">
        <f>+B82+1</f>
        <v>37</v>
      </c>
      <c r="C85" s="170"/>
      <c r="D85" s="161" t="s">
        <v>121</v>
      </c>
      <c r="E85" s="185" t="s">
        <v>98</v>
      </c>
      <c r="F85" s="189"/>
      <c r="G85" s="208"/>
      <c r="H85" s="208"/>
      <c r="I85" s="208"/>
      <c r="J85" s="208"/>
      <c r="K85" s="208"/>
      <c r="L85" s="208"/>
      <c r="M85" s="172"/>
      <c r="N85" s="167"/>
      <c r="O85" s="167"/>
    </row>
    <row r="86" spans="2:15">
      <c r="B86" s="169">
        <f t="shared" ref="B86:B91" si="1">+B85+1</f>
        <v>38</v>
      </c>
      <c r="C86" s="232"/>
      <c r="D86" s="239" t="s">
        <v>477</v>
      </c>
      <c r="E86" s="185" t="str">
        <f>"(Worksheet B, ln "&amp;'WS B ADIT &amp; ITC'!A17&amp;" &amp; ln "&amp;'WS B ADIT &amp; ITC'!A20&amp;".E)"</f>
        <v>(Worksheet B, ln 2 &amp; ln 5.E)</v>
      </c>
      <c r="F86" s="185"/>
      <c r="G86" s="202">
        <f>'WS B ADIT &amp; ITC'!I17</f>
        <v>0</v>
      </c>
      <c r="H86" s="202"/>
      <c r="I86" s="189" t="s">
        <v>420</v>
      </c>
      <c r="J86" s="190"/>
      <c r="K86" s="185"/>
      <c r="L86" s="202">
        <f>'WS B ADIT &amp; ITC'!I20</f>
        <v>0</v>
      </c>
      <c r="M86" s="167"/>
      <c r="N86" s="167"/>
      <c r="O86" s="167"/>
    </row>
    <row r="87" spans="2:15">
      <c r="B87" s="169">
        <f t="shared" si="1"/>
        <v>39</v>
      </c>
      <c r="C87" s="232"/>
      <c r="D87" s="239" t="s">
        <v>478</v>
      </c>
      <c r="E87" s="185" t="str">
        <f>"(Worksheet B, ln "&amp;'WS B ADIT &amp; ITC'!A25&amp;" &amp; ln "&amp;'WS B ADIT &amp; ITC'!A28&amp;".E)"</f>
        <v>(Worksheet B, ln 7 &amp; ln 10.E)</v>
      </c>
      <c r="F87" s="185"/>
      <c r="G87" s="202">
        <f>-'WS B ADIT &amp; ITC'!I25</f>
        <v>-576540259.5150001</v>
      </c>
      <c r="H87" s="202"/>
      <c r="I87" s="189" t="s">
        <v>422</v>
      </c>
      <c r="J87" s="190"/>
      <c r="K87" s="185"/>
      <c r="L87" s="202">
        <f>-'WS B ADIT &amp; ITC'!I28</f>
        <v>-474320848.22856748</v>
      </c>
      <c r="M87" s="167"/>
      <c r="N87" s="167"/>
      <c r="O87" s="167"/>
    </row>
    <row r="88" spans="2:15">
      <c r="B88" s="169">
        <f t="shared" si="1"/>
        <v>40</v>
      </c>
      <c r="C88" s="232"/>
      <c r="D88" s="239" t="s">
        <v>479</v>
      </c>
      <c r="E88" s="185" t="str">
        <f>"(Worksheet B, ln "&amp;'WS B ADIT &amp; ITC'!A33&amp;" &amp; ln "&amp;'WS B ADIT &amp; ITC'!A36&amp;".E)"</f>
        <v>(Worksheet B, ln 12 &amp; ln 15.E)</v>
      </c>
      <c r="F88" s="185"/>
      <c r="G88" s="202">
        <f>-'WS B ADIT &amp; ITC'!I33</f>
        <v>-3555547.58</v>
      </c>
      <c r="H88" s="202"/>
      <c r="I88" s="189" t="s">
        <v>422</v>
      </c>
      <c r="J88" s="190"/>
      <c r="K88" s="185"/>
      <c r="L88" s="202">
        <f>-'WS B ADIT &amp; ITC'!I36</f>
        <v>-3555547.58</v>
      </c>
      <c r="M88" s="167"/>
      <c r="N88" s="167"/>
      <c r="O88" s="167"/>
    </row>
    <row r="89" spans="2:15">
      <c r="B89" s="169">
        <f t="shared" si="1"/>
        <v>41</v>
      </c>
      <c r="C89" s="232"/>
      <c r="D89" s="239" t="s">
        <v>480</v>
      </c>
      <c r="E89" s="185" t="str">
        <f>"(Worksheet B, ln "&amp;'WS B ADIT &amp; ITC'!A41&amp;" &amp; ln "&amp;'WS B ADIT &amp; ITC'!A44&amp;".E)"</f>
        <v>(Worksheet B, ln 17 &amp; ln 20.E)</v>
      </c>
      <c r="F89" s="185"/>
      <c r="G89" s="202">
        <f>'WS B ADIT &amp; ITC'!I41</f>
        <v>8206067.5199999977</v>
      </c>
      <c r="H89" s="202"/>
      <c r="I89" s="189" t="s">
        <v>422</v>
      </c>
      <c r="J89" s="190"/>
      <c r="K89" s="185"/>
      <c r="L89" s="202">
        <f>'WS B ADIT &amp; ITC'!I44</f>
        <v>54409814.384590998</v>
      </c>
      <c r="M89" s="167"/>
      <c r="N89" s="167"/>
      <c r="O89" s="167"/>
    </row>
    <row r="90" spans="2:15" ht="15.75" thickBot="1">
      <c r="B90" s="169">
        <f t="shared" si="1"/>
        <v>42</v>
      </c>
      <c r="C90" s="232"/>
      <c r="D90" s="260" t="s">
        <v>426</v>
      </c>
      <c r="E90" s="185" t="str">
        <f>"(Worksheet B, ln "&amp;'WS B ADIT &amp; ITC'!A51&amp;" &amp; ln "&amp;'WS B ADIT &amp; ITC'!A52&amp;".E)"</f>
        <v>(Worksheet B, ln 24 &amp; ln 25.E)</v>
      </c>
      <c r="F90" s="159"/>
      <c r="G90" s="241">
        <f>-'WS B ADIT &amp; ITC'!I51</f>
        <v>0</v>
      </c>
      <c r="H90" s="202"/>
      <c r="I90" s="189" t="s">
        <v>422</v>
      </c>
      <c r="J90" s="190"/>
      <c r="K90" s="185"/>
      <c r="L90" s="241">
        <f>-'WS B ADIT &amp; ITC'!I52</f>
        <v>0</v>
      </c>
      <c r="M90" s="261"/>
      <c r="N90" s="167"/>
      <c r="O90" s="167"/>
    </row>
    <row r="91" spans="2:15">
      <c r="B91" s="169">
        <f t="shared" si="1"/>
        <v>43</v>
      </c>
      <c r="C91" s="232"/>
      <c r="D91" s="240" t="s">
        <v>385</v>
      </c>
      <c r="E91" s="240" t="str">
        <f>"(sum lns "&amp;B86&amp;" to "&amp;B90&amp;")"</f>
        <v>(sum lns 38 to 42)</v>
      </c>
      <c r="F91" s="185"/>
      <c r="G91" s="202">
        <f>SUM(G86:G90)</f>
        <v>-571889739.57500017</v>
      </c>
      <c r="H91" s="262"/>
      <c r="I91" s="189"/>
      <c r="J91" s="209"/>
      <c r="K91" s="185"/>
      <c r="L91" s="202">
        <f>SUM(L86:L90)</f>
        <v>-423466581.42397648</v>
      </c>
      <c r="M91" s="167"/>
      <c r="N91" s="263"/>
    </row>
    <row r="92" spans="2:15">
      <c r="B92" s="169"/>
      <c r="C92" s="170"/>
      <c r="D92" s="240"/>
      <c r="E92" s="185"/>
      <c r="F92" s="185"/>
      <c r="G92" s="202"/>
      <c r="H92" s="262"/>
      <c r="I92" s="189"/>
      <c r="J92" s="254"/>
      <c r="K92" s="185"/>
      <c r="L92" s="202"/>
      <c r="M92" s="167"/>
    </row>
    <row r="93" spans="2:15">
      <c r="B93" s="169">
        <f>+B91+1</f>
        <v>44</v>
      </c>
      <c r="C93" s="170"/>
      <c r="D93" s="240" t="s">
        <v>489</v>
      </c>
      <c r="E93" s="185" t="str">
        <f>"(Worksheet A ln "&amp;'WS A - Rate Base Support'!A69&amp;"."&amp;'WS A - Rate Base Support'!F68 &amp;")"&amp;" ln "&amp;'WS A - Rate Base Support'!A71&amp;"."&amp;'WS A - Rate Base Support'!F68 &amp;")"</f>
        <v>(Worksheet A ln 44.(e)) ln 45.(e))</v>
      </c>
      <c r="F93" s="185"/>
      <c r="G93" s="202">
        <f>'WS A - Rate Base Support'!F69</f>
        <v>0</v>
      </c>
      <c r="H93" s="262"/>
      <c r="I93" s="189" t="s">
        <v>422</v>
      </c>
      <c r="J93" s="190"/>
      <c r="K93" s="185"/>
      <c r="L93" s="202">
        <f>'WS A - Rate Base Support'!F71</f>
        <v>0</v>
      </c>
      <c r="M93" s="167"/>
    </row>
    <row r="94" spans="2:15">
      <c r="B94" s="169"/>
      <c r="C94" s="170"/>
      <c r="D94" s="240"/>
      <c r="E94" s="185"/>
      <c r="F94" s="185"/>
      <c r="G94" s="202"/>
      <c r="H94" s="262"/>
      <c r="I94" s="189"/>
      <c r="J94" s="190"/>
      <c r="K94" s="185"/>
      <c r="L94" s="202"/>
      <c r="M94" s="167"/>
    </row>
    <row r="95" spans="2:15">
      <c r="B95" s="169">
        <f>+B93+1</f>
        <v>45</v>
      </c>
      <c r="C95" s="193"/>
      <c r="D95" s="239" t="s">
        <v>122</v>
      </c>
      <c r="E95" s="185" t="str">
        <f>"(Worksheet A ln "&amp;'WS A - Rate Base Support'!A80&amp;"."&amp;'WS A - Rate Base Support'!F68 &amp;")"</f>
        <v>(Worksheet A ln 51.(e))</v>
      </c>
      <c r="F95" s="185"/>
      <c r="G95" s="202">
        <f>'WS A - Rate Base Support'!F80</f>
        <v>0</v>
      </c>
      <c r="H95" s="262"/>
      <c r="I95" s="189" t="s">
        <v>422</v>
      </c>
      <c r="J95" s="185"/>
      <c r="K95" s="185"/>
      <c r="L95" s="202">
        <f>+G95</f>
        <v>0</v>
      </c>
      <c r="M95" s="185"/>
      <c r="N95" s="159"/>
    </row>
    <row r="96" spans="2:15">
      <c r="B96" s="169"/>
      <c r="C96" s="193"/>
      <c r="D96" s="239"/>
      <c r="E96" s="185"/>
      <c r="F96" s="185"/>
      <c r="G96" s="202"/>
      <c r="H96" s="262"/>
      <c r="I96" s="189"/>
      <c r="J96" s="185"/>
      <c r="K96" s="185"/>
      <c r="L96" s="202"/>
      <c r="M96" s="185"/>
      <c r="N96" s="159"/>
    </row>
    <row r="97" spans="2:14">
      <c r="B97" s="192">
        <f>B95+1</f>
        <v>46</v>
      </c>
      <c r="C97" s="251"/>
      <c r="D97" s="321" t="s">
        <v>631</v>
      </c>
      <c r="E97" s="185" t="s">
        <v>632</v>
      </c>
      <c r="F97" s="185"/>
      <c r="G97" s="202">
        <f>'WS A - Rate Base Support'!F87</f>
        <v>0</v>
      </c>
      <c r="H97" s="202"/>
      <c r="I97" s="189" t="s">
        <v>424</v>
      </c>
      <c r="J97" s="190">
        <f>L219</f>
        <v>1</v>
      </c>
      <c r="K97" s="185"/>
      <c r="L97" s="256">
        <f>+J97*G97</f>
        <v>0</v>
      </c>
      <c r="M97" s="185"/>
      <c r="N97" s="159"/>
    </row>
    <row r="98" spans="2:14">
      <c r="B98" s="169"/>
      <c r="C98" s="170"/>
      <c r="D98" s="240"/>
      <c r="E98" s="185"/>
      <c r="F98" s="185"/>
      <c r="G98" s="202"/>
      <c r="H98" s="262"/>
      <c r="I98" s="189"/>
      <c r="J98" s="185"/>
      <c r="K98" s="185"/>
      <c r="L98" s="202"/>
      <c r="M98" s="167"/>
    </row>
    <row r="99" spans="2:14">
      <c r="B99" s="169">
        <f>+B97+1</f>
        <v>47</v>
      </c>
      <c r="C99" s="170"/>
      <c r="D99" s="240" t="s">
        <v>386</v>
      </c>
      <c r="E99" s="185" t="s">
        <v>286</v>
      </c>
      <c r="F99" s="185"/>
      <c r="G99" s="202"/>
      <c r="H99" s="262"/>
      <c r="I99" s="189"/>
      <c r="J99" s="185"/>
      <c r="K99" s="185"/>
      <c r="L99" s="202"/>
      <c r="M99" s="167"/>
    </row>
    <row r="100" spans="2:14">
      <c r="B100" s="169">
        <f t="shared" ref="B100:B108" si="2">+B99+1</f>
        <v>48</v>
      </c>
      <c r="C100" s="232"/>
      <c r="D100" s="240" t="s">
        <v>488</v>
      </c>
      <c r="E100" s="159" t="str">
        <f>"(1/8 * ln "&amp;B134&amp;")"</f>
        <v>(1/8 * ln 66)</v>
      </c>
      <c r="F100" s="159"/>
      <c r="G100" s="202">
        <f>+G134/8</f>
        <v>4576836.96</v>
      </c>
      <c r="H100" s="185"/>
      <c r="I100" s="189"/>
      <c r="J100" s="254"/>
      <c r="K100" s="185"/>
      <c r="L100" s="202">
        <f>+L134/8</f>
        <v>4576836.96</v>
      </c>
      <c r="M100" s="164"/>
    </row>
    <row r="101" spans="2:14">
      <c r="B101" s="169">
        <f t="shared" si="2"/>
        <v>49</v>
      </c>
      <c r="C101" s="251"/>
      <c r="D101" s="240" t="s">
        <v>129</v>
      </c>
      <c r="E101" s="185" t="str">
        <f>"(Worksheet C, ln "&amp;'WS C  - Working Capital'!A17&amp;".(F))"</f>
        <v>(Worksheet C, ln 2.(F))</v>
      </c>
      <c r="F101" s="185"/>
      <c r="G101" s="202">
        <f>'WS C  - Working Capital'!I17</f>
        <v>30066</v>
      </c>
      <c r="H101" s="208"/>
      <c r="I101" s="196" t="s">
        <v>414</v>
      </c>
      <c r="J101" s="190">
        <f>J134</f>
        <v>1</v>
      </c>
      <c r="K101" s="167"/>
      <c r="L101" s="256">
        <f>+J101*G101</f>
        <v>30066</v>
      </c>
      <c r="M101" s="185"/>
    </row>
    <row r="102" spans="2:14">
      <c r="B102" s="169">
        <f t="shared" si="2"/>
        <v>50</v>
      </c>
      <c r="C102" s="251"/>
      <c r="D102" s="240" t="s">
        <v>130</v>
      </c>
      <c r="E102" s="185" t="str">
        <f>"(Worksheet C, ln "&amp;'WS C  - Working Capital'!A19&amp;".(F))"</f>
        <v>(Worksheet C, ln 3.(F))</v>
      </c>
      <c r="F102" s="185"/>
      <c r="G102" s="202">
        <f>'WS C  - Working Capital'!I19</f>
        <v>20119.5</v>
      </c>
      <c r="H102" s="208"/>
      <c r="I102" s="196" t="s">
        <v>424</v>
      </c>
      <c r="J102" s="190">
        <f>L219</f>
        <v>1</v>
      </c>
      <c r="K102" s="167"/>
      <c r="L102" s="256">
        <f>+J102*G102</f>
        <v>20119.5</v>
      </c>
      <c r="M102" s="185"/>
    </row>
    <row r="103" spans="2:14">
      <c r="B103" s="169">
        <f t="shared" si="2"/>
        <v>51</v>
      </c>
      <c r="C103" s="251"/>
      <c r="D103" s="240" t="s">
        <v>318</v>
      </c>
      <c r="E103" s="185" t="str">
        <f>"(Worksheet C, ln "&amp;'WS C  - Working Capital'!A21&amp;".(F))"</f>
        <v>(Worksheet C, ln 4.(F))</v>
      </c>
      <c r="F103" s="185"/>
      <c r="G103" s="202">
        <f>'WS C  - Working Capital'!I21</f>
        <v>0</v>
      </c>
      <c r="H103" s="208"/>
      <c r="I103" s="196" t="s">
        <v>758</v>
      </c>
      <c r="J103" s="190">
        <f>J68</f>
        <v>1</v>
      </c>
      <c r="K103" s="167"/>
      <c r="L103" s="256">
        <f>+J103*G103</f>
        <v>0</v>
      </c>
      <c r="M103" s="185"/>
    </row>
    <row r="104" spans="2:14">
      <c r="B104" s="169">
        <f t="shared" si="2"/>
        <v>52</v>
      </c>
      <c r="C104" s="251"/>
      <c r="D104" s="239" t="s">
        <v>492</v>
      </c>
      <c r="E104" s="185" t="str">
        <f>"(Worksheet C, ln "&amp;'WS C  - Working Capital'!A31&amp;".(G))"</f>
        <v>(Worksheet C, ln 8.(G))</v>
      </c>
      <c r="F104" s="185"/>
      <c r="G104" s="202">
        <f>'WS C  - Working Capital'!J31</f>
        <v>0</v>
      </c>
      <c r="H104" s="262"/>
      <c r="I104" s="189" t="s">
        <v>424</v>
      </c>
      <c r="J104" s="190">
        <f>L219</f>
        <v>1</v>
      </c>
      <c r="K104" s="185"/>
      <c r="L104" s="202">
        <f>+J104*G104</f>
        <v>0</v>
      </c>
      <c r="M104" s="185"/>
    </row>
    <row r="105" spans="2:14">
      <c r="B105" s="169">
        <f t="shared" si="2"/>
        <v>53</v>
      </c>
      <c r="C105" s="232"/>
      <c r="D105" s="240" t="s">
        <v>493</v>
      </c>
      <c r="E105" s="185" t="str">
        <f>"(Worksheet C, ln "&amp;'WS C  - Working Capital'!A31&amp;".(F))"</f>
        <v>(Worksheet C, ln 8.(F))</v>
      </c>
      <c r="F105" s="185"/>
      <c r="G105" s="202">
        <f>'WS C  - Working Capital'!I31</f>
        <v>969391</v>
      </c>
      <c r="H105" s="262"/>
      <c r="I105" s="189" t="s">
        <v>758</v>
      </c>
      <c r="J105" s="190">
        <f>J68</f>
        <v>1</v>
      </c>
      <c r="K105" s="185"/>
      <c r="L105" s="202">
        <f>+G105*J105</f>
        <v>969391</v>
      </c>
      <c r="M105" s="185"/>
    </row>
    <row r="106" spans="2:14">
      <c r="B106" s="169">
        <f t="shared" si="2"/>
        <v>54</v>
      </c>
      <c r="C106" s="232"/>
      <c r="D106" s="240" t="s">
        <v>101</v>
      </c>
      <c r="E106" s="185" t="str">
        <f>"(Worksheet C, ln "&amp;'WS C  - Working Capital'!A31&amp;".(E))"</f>
        <v>(Worksheet C, ln 8.(E))</v>
      </c>
      <c r="F106" s="185"/>
      <c r="G106" s="202">
        <f>'WS C  - Working Capital'!G31</f>
        <v>0</v>
      </c>
      <c r="H106" s="262"/>
      <c r="I106" s="189" t="s">
        <v>422</v>
      </c>
      <c r="J106" s="190">
        <v>1</v>
      </c>
      <c r="K106" s="185"/>
      <c r="L106" s="202">
        <f>+G106</f>
        <v>0</v>
      </c>
      <c r="M106" s="185"/>
    </row>
    <row r="107" spans="2:14" ht="15.75" thickBot="1">
      <c r="B107" s="169">
        <f t="shared" si="2"/>
        <v>55</v>
      </c>
      <c r="C107" s="232"/>
      <c r="D107" s="240" t="s">
        <v>398</v>
      </c>
      <c r="E107" s="185" t="str">
        <f>"(Worksheet C, ln "&amp;'WS C  - Working Capital'!A31&amp;".(D))"</f>
        <v>(Worksheet C, ln 8.(D))</v>
      </c>
      <c r="F107" s="185"/>
      <c r="G107" s="241">
        <f>'WS C  - Working Capital'!E31</f>
        <v>0</v>
      </c>
      <c r="H107" s="202"/>
      <c r="I107" s="189" t="s">
        <v>420</v>
      </c>
      <c r="J107" s="190">
        <v>0</v>
      </c>
      <c r="K107" s="185"/>
      <c r="L107" s="241">
        <f>+G107*J107</f>
        <v>0</v>
      </c>
      <c r="M107" s="185"/>
    </row>
    <row r="108" spans="2:14">
      <c r="B108" s="169">
        <f t="shared" si="2"/>
        <v>56</v>
      </c>
      <c r="C108" s="232"/>
      <c r="D108" s="240" t="s">
        <v>370</v>
      </c>
      <c r="E108" s="240" t="str">
        <f>"(sum lns "&amp;B100&amp;" to "&amp;B107&amp;")"</f>
        <v>(sum lns 48 to 55)</v>
      </c>
      <c r="F108" s="180"/>
      <c r="G108" s="202">
        <f>SUM(G100:G107)</f>
        <v>5596413.46</v>
      </c>
      <c r="H108" s="180"/>
      <c r="I108" s="193"/>
      <c r="J108" s="180"/>
      <c r="K108" s="180"/>
      <c r="L108" s="202">
        <f>SUM(L100:L107)</f>
        <v>5596413.46</v>
      </c>
      <c r="M108" s="164"/>
    </row>
    <row r="109" spans="2:14">
      <c r="B109" s="169"/>
      <c r="C109" s="170"/>
      <c r="D109" s="240"/>
      <c r="E109" s="164"/>
      <c r="F109" s="164"/>
      <c r="G109" s="256"/>
      <c r="H109" s="164"/>
      <c r="I109" s="170"/>
      <c r="J109" s="164"/>
      <c r="K109" s="164"/>
      <c r="L109" s="256"/>
      <c r="M109" s="164"/>
    </row>
    <row r="110" spans="2:14">
      <c r="B110" s="169">
        <f>+B108+1</f>
        <v>57</v>
      </c>
      <c r="C110" s="170"/>
      <c r="D110" s="239" t="s">
        <v>358</v>
      </c>
      <c r="E110" s="161" t="str">
        <f>"(Note F) (Worksheet D, ln "&amp;'WS D IPP Credits'!A23&amp;".B)"</f>
        <v>(Note F) (Worksheet D, ln 8.B)</v>
      </c>
      <c r="F110" s="164"/>
      <c r="G110" s="256">
        <f>+'WS D IPP Credits'!C23</f>
        <v>0</v>
      </c>
      <c r="H110" s="164"/>
      <c r="I110" s="264" t="s">
        <v>422</v>
      </c>
      <c r="J110" s="190">
        <v>1</v>
      </c>
      <c r="K110" s="167"/>
      <c r="L110" s="256">
        <f>+J110*G110</f>
        <v>0</v>
      </c>
      <c r="M110" s="164"/>
    </row>
    <row r="111" spans="2:14" ht="15.75" thickBot="1">
      <c r="B111" s="169"/>
      <c r="D111" s="260"/>
      <c r="E111" s="167"/>
      <c r="F111" s="167"/>
      <c r="G111" s="265"/>
      <c r="H111" s="167"/>
      <c r="I111" s="196"/>
      <c r="J111" s="167"/>
      <c r="K111" s="167"/>
      <c r="L111" s="265"/>
      <c r="M111" s="167"/>
    </row>
    <row r="112" spans="2:14" ht="15.75" thickBot="1">
      <c r="B112" s="169">
        <f>+B110+1</f>
        <v>58</v>
      </c>
      <c r="C112" s="170"/>
      <c r="D112" s="161" t="str">
        <f>"RATE BASE  (sum lns "&amp;B82&amp;", "&amp;B91&amp;", "&amp;B93&amp;", "&amp;B95&amp;", "&amp;B97&amp;", "&amp;B108&amp;", "&amp;B110&amp;")"</f>
        <v>RATE BASE  (sum lns 36, 43, 44, 45, 46, 56, 57)</v>
      </c>
      <c r="E112" s="167"/>
      <c r="F112" s="167"/>
      <c r="G112" s="266">
        <f>+G108+G93+G91+G82+G110+G95+G97</f>
        <v>4231400633.9834609</v>
      </c>
      <c r="H112" s="167"/>
      <c r="I112" s="167"/>
      <c r="J112" s="267"/>
      <c r="K112" s="167"/>
      <c r="L112" s="266">
        <f>+L108+L93+L91+L82+L110+L95+L97</f>
        <v>4379823792.1344843</v>
      </c>
      <c r="M112" s="167"/>
    </row>
    <row r="113" spans="2:15" ht="16.5" thickTop="1">
      <c r="B113" s="169"/>
      <c r="C113" s="208"/>
      <c r="D113" s="208"/>
      <c r="E113" s="208"/>
      <c r="F113" s="208"/>
      <c r="G113" s="208"/>
      <c r="H113" s="208"/>
      <c r="I113" s="158"/>
      <c r="J113" s="158"/>
      <c r="K113" s="158"/>
      <c r="L113" s="159"/>
    </row>
    <row r="114" spans="2:15">
      <c r="B114" s="268"/>
      <c r="C114" s="170"/>
      <c r="D114" s="161"/>
      <c r="E114" s="167"/>
      <c r="F114" s="167"/>
      <c r="G114" s="167"/>
      <c r="H114" s="167"/>
      <c r="I114" s="167"/>
      <c r="J114" s="167"/>
      <c r="K114" s="167"/>
      <c r="L114" s="167"/>
      <c r="M114" s="167"/>
    </row>
    <row r="115" spans="2:15">
      <c r="B115" s="268"/>
      <c r="C115" s="170"/>
      <c r="D115" s="161"/>
      <c r="E115" s="167"/>
      <c r="F115" s="196" t="str">
        <f>F51</f>
        <v>AEPTCo subsidiaries in PJM</v>
      </c>
      <c r="G115" s="196"/>
      <c r="H115" s="167"/>
      <c r="I115" s="167"/>
      <c r="J115" s="167"/>
      <c r="K115" s="167"/>
      <c r="L115" s="167"/>
      <c r="M115" s="269"/>
    </row>
    <row r="116" spans="2:15">
      <c r="B116" s="268"/>
      <c r="C116" s="170"/>
      <c r="D116" s="161"/>
      <c r="E116" s="167"/>
      <c r="F116" s="196" t="str">
        <f>F52</f>
        <v>Transmission Cost of Service Formula Rate</v>
      </c>
      <c r="G116" s="196"/>
      <c r="H116" s="167"/>
      <c r="I116" s="167"/>
      <c r="J116" s="167"/>
      <c r="K116" s="167"/>
      <c r="L116" s="167"/>
      <c r="M116" s="269"/>
    </row>
    <row r="117" spans="2:15">
      <c r="B117" s="268"/>
      <c r="C117" s="170"/>
      <c r="E117" s="167"/>
      <c r="F117" s="196" t="str">
        <f>F53</f>
        <v>Utilizing  Actual/Projected FERC Form 1 Data</v>
      </c>
      <c r="G117" s="167"/>
      <c r="H117" s="167"/>
      <c r="I117" s="167"/>
      <c r="J117" s="167"/>
      <c r="K117" s="167"/>
      <c r="L117" s="167"/>
      <c r="M117" s="218"/>
    </row>
    <row r="118" spans="2:15">
      <c r="B118" s="268"/>
      <c r="C118" s="170"/>
      <c r="E118" s="167"/>
      <c r="F118" s="196"/>
      <c r="G118" s="167"/>
      <c r="H118" s="167"/>
      <c r="I118" s="167"/>
      <c r="J118" s="167"/>
      <c r="K118" s="167"/>
      <c r="L118" s="167"/>
      <c r="M118" s="167"/>
    </row>
    <row r="119" spans="2:15">
      <c r="B119" s="268"/>
      <c r="C119" s="170"/>
      <c r="E119" s="270"/>
      <c r="F119" s="196" t="str">
        <f>F55</f>
        <v>AEP Ohio Transmission Company</v>
      </c>
      <c r="G119" s="270"/>
      <c r="H119" s="271"/>
      <c r="I119" s="270"/>
      <c r="J119" s="270"/>
      <c r="K119" s="270"/>
      <c r="M119" s="167"/>
    </row>
    <row r="120" spans="2:15">
      <c r="B120" s="268"/>
      <c r="C120" s="170"/>
      <c r="E120" s="270"/>
      <c r="F120" s="196"/>
      <c r="G120" s="270"/>
      <c r="H120" s="271"/>
      <c r="I120" s="270"/>
      <c r="J120" s="270"/>
      <c r="K120" s="270"/>
      <c r="M120" s="167"/>
    </row>
    <row r="121" spans="2:15">
      <c r="B121" s="268"/>
      <c r="D121" s="170" t="s">
        <v>415</v>
      </c>
      <c r="E121" s="170" t="s">
        <v>416</v>
      </c>
      <c r="F121" s="170"/>
      <c r="G121" s="170" t="s">
        <v>417</v>
      </c>
      <c r="H121" s="185"/>
      <c r="I121" s="1464" t="s">
        <v>418</v>
      </c>
      <c r="J121" s="1468"/>
      <c r="K121" s="167"/>
      <c r="L121" s="171" t="s">
        <v>419</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394</v>
      </c>
      <c r="E123" s="222" t="str">
        <f>E59</f>
        <v>Data Sources</v>
      </c>
      <c r="F123" s="223"/>
      <c r="G123" s="167"/>
      <c r="H123" s="185"/>
      <c r="I123" s="167"/>
      <c r="J123" s="170"/>
      <c r="K123" s="167"/>
      <c r="L123" s="222" t="str">
        <f>L59</f>
        <v>Total</v>
      </c>
      <c r="N123" s="273"/>
      <c r="O123" s="274"/>
    </row>
    <row r="124" spans="2:15" ht="15.75">
      <c r="B124" s="268"/>
      <c r="C124" s="177"/>
      <c r="D124" s="225" t="s">
        <v>395</v>
      </c>
      <c r="E124" s="275" t="str">
        <f>E60</f>
        <v>(See "General Notes")</v>
      </c>
      <c r="F124" s="167"/>
      <c r="G124" s="275" t="str">
        <f>G60</f>
        <v>TO Total</v>
      </c>
      <c r="H124" s="276"/>
      <c r="I124" s="1466" t="str">
        <f>I60</f>
        <v>Allocator</v>
      </c>
      <c r="J124" s="1467"/>
      <c r="K124" s="227"/>
      <c r="L124" s="275" t="str">
        <f>L60</f>
        <v>Transmission</v>
      </c>
      <c r="M124" s="167"/>
      <c r="N124" s="273"/>
      <c r="O124" s="274"/>
    </row>
    <row r="125" spans="2:15" ht="15.75">
      <c r="B125" s="169" t="str">
        <f>B61</f>
        <v>Line</v>
      </c>
      <c r="D125" s="161"/>
      <c r="E125" s="167"/>
      <c r="F125" s="167"/>
      <c r="G125" s="225"/>
      <c r="H125" s="277"/>
      <c r="I125" s="273"/>
      <c r="K125" s="278"/>
      <c r="L125" s="225"/>
      <c r="M125" s="167"/>
    </row>
    <row r="126" spans="2:15">
      <c r="B126" s="169" t="str">
        <f>B62</f>
        <v>No.</v>
      </c>
      <c r="C126" s="170"/>
      <c r="D126" s="161" t="s">
        <v>396</v>
      </c>
      <c r="E126" s="167"/>
      <c r="F126" s="167"/>
      <c r="G126" s="167"/>
      <c r="H126" s="185"/>
      <c r="I126" s="196"/>
      <c r="J126" s="167"/>
      <c r="K126" s="167"/>
      <c r="L126" s="167"/>
      <c r="M126" s="167"/>
    </row>
    <row r="127" spans="2:15">
      <c r="B127" s="169">
        <f>+B112+1</f>
        <v>59</v>
      </c>
      <c r="C127" s="170"/>
      <c r="D127" s="204" t="s">
        <v>32</v>
      </c>
      <c r="E127" s="167" t="s">
        <v>486</v>
      </c>
      <c r="F127" s="185"/>
      <c r="G127" s="143">
        <v>0</v>
      </c>
      <c r="H127" s="185"/>
      <c r="I127" s="189"/>
      <c r="J127" s="190"/>
      <c r="K127" s="185"/>
      <c r="L127" s="202"/>
      <c r="M127" s="167"/>
    </row>
    <row r="128" spans="2:15">
      <c r="B128" s="169">
        <f t="shared" ref="B128:B134" si="3">+B127+1</f>
        <v>60</v>
      </c>
      <c r="C128" s="170"/>
      <c r="D128" s="204" t="s">
        <v>38</v>
      </c>
      <c r="E128" s="167" t="s">
        <v>198</v>
      </c>
      <c r="F128" s="185"/>
      <c r="G128" s="143">
        <v>0</v>
      </c>
      <c r="H128" s="185"/>
      <c r="I128" s="189"/>
      <c r="J128" s="190"/>
      <c r="K128" s="185"/>
      <c r="L128" s="202"/>
      <c r="M128" s="167"/>
    </row>
    <row r="129" spans="2:15" ht="15.75" thickBot="1">
      <c r="B129" s="169">
        <f t="shared" si="3"/>
        <v>61</v>
      </c>
      <c r="C129" s="170"/>
      <c r="D129" s="204" t="s">
        <v>427</v>
      </c>
      <c r="E129" s="167" t="s">
        <v>197</v>
      </c>
      <c r="F129" s="185"/>
      <c r="G129" s="141">
        <v>37672631</v>
      </c>
      <c r="H129" s="279"/>
      <c r="I129" s="208"/>
      <c r="J129" s="208"/>
      <c r="K129" s="172"/>
      <c r="L129" s="172"/>
      <c r="M129" s="164"/>
      <c r="N129" s="167"/>
      <c r="O129" s="167"/>
    </row>
    <row r="130" spans="2:15">
      <c r="B130" s="169">
        <f t="shared" si="3"/>
        <v>62</v>
      </c>
      <c r="C130" s="170"/>
      <c r="D130" s="204" t="s">
        <v>39</v>
      </c>
      <c r="E130" s="185" t="str">
        <f>"(sum lns "&amp;B127&amp;"  to "&amp;B129&amp;")"</f>
        <v>(sum lns 59  to 61)</v>
      </c>
      <c r="F130" s="185"/>
      <c r="G130" s="202">
        <f>SUM(G127:G129)</f>
        <v>37672631</v>
      </c>
      <c r="H130" s="202"/>
      <c r="I130" s="208"/>
      <c r="J130" s="208"/>
      <c r="K130" s="172"/>
      <c r="L130" s="172"/>
      <c r="M130" s="164"/>
      <c r="N130" s="167"/>
      <c r="O130" s="167"/>
    </row>
    <row r="131" spans="2:15">
      <c r="B131" s="169">
        <f t="shared" si="3"/>
        <v>63</v>
      </c>
      <c r="C131" s="170"/>
      <c r="D131" s="204" t="s">
        <v>123</v>
      </c>
      <c r="E131" s="185" t="str">
        <f>"(Note G) (Worksheet F, ln "&amp;'WS F Misc Exp'!A33&amp;".C)"</f>
        <v>(Note G) (Worksheet F, ln 14.C)</v>
      </c>
      <c r="F131" s="185"/>
      <c r="G131" s="202">
        <f>+'WS F Misc Exp'!D33</f>
        <v>1057935.32</v>
      </c>
      <c r="H131" s="202"/>
      <c r="I131" s="208"/>
      <c r="J131" s="208"/>
      <c r="K131" s="172"/>
      <c r="L131" s="172"/>
      <c r="M131" s="164"/>
      <c r="N131" s="167"/>
      <c r="O131" s="167"/>
    </row>
    <row r="132" spans="2:15">
      <c r="B132" s="169">
        <f t="shared" si="3"/>
        <v>64</v>
      </c>
      <c r="C132" s="170"/>
      <c r="D132" s="204" t="s">
        <v>352</v>
      </c>
      <c r="E132" s="185" t="s">
        <v>393</v>
      </c>
      <c r="F132" s="185"/>
      <c r="G132" s="145">
        <v>0</v>
      </c>
      <c r="H132" s="202"/>
      <c r="I132" s="208"/>
      <c r="J132" s="208"/>
      <c r="K132" s="172"/>
      <c r="L132" s="172"/>
      <c r="M132" s="164"/>
      <c r="N132" s="167"/>
      <c r="O132" s="167"/>
    </row>
    <row r="133" spans="2:15" ht="15.75" thickBot="1">
      <c r="B133" s="169">
        <f t="shared" si="3"/>
        <v>65</v>
      </c>
      <c r="C133" s="193"/>
      <c r="D133" s="204" t="s">
        <v>127</v>
      </c>
      <c r="E133" s="185" t="str">
        <f>"(Note I) (Worksheet F, ln "&amp;'WS F Misc Exp'!A21&amp;".C)"</f>
        <v>(Note I) (Worksheet F, ln 4.C)</v>
      </c>
      <c r="F133" s="185"/>
      <c r="G133" s="241">
        <f>+'WS F Misc Exp'!D21</f>
        <v>0</v>
      </c>
      <c r="H133" s="202"/>
      <c r="I133" s="262"/>
      <c r="J133" s="262"/>
      <c r="K133" s="172"/>
      <c r="L133" s="172"/>
      <c r="M133" s="164"/>
      <c r="N133" s="167"/>
      <c r="O133" s="167"/>
    </row>
    <row r="134" spans="2:15">
      <c r="B134" s="169">
        <f t="shared" si="3"/>
        <v>66</v>
      </c>
      <c r="C134" s="170"/>
      <c r="D134" s="204" t="s">
        <v>194</v>
      </c>
      <c r="E134" s="167" t="str">
        <f>"(lns "&amp;B129&amp;" - "&amp;B131&amp;" - "&amp;B132&amp;" - "&amp;B133&amp;")"</f>
        <v>(lns 61 - 63 - 64 - 65)</v>
      </c>
      <c r="F134" s="204"/>
      <c r="G134" s="202">
        <f>G129-G131-G132-G133</f>
        <v>36614695.68</v>
      </c>
      <c r="H134" s="185"/>
      <c r="I134" s="196" t="s">
        <v>414</v>
      </c>
      <c r="J134" s="190">
        <f>L209</f>
        <v>1</v>
      </c>
      <c r="K134" s="185"/>
      <c r="L134" s="202">
        <f>+J134*G134</f>
        <v>36614695.68</v>
      </c>
      <c r="M134" s="180"/>
      <c r="N134" s="167"/>
      <c r="O134" s="167"/>
    </row>
    <row r="135" spans="2:15">
      <c r="B135" s="169"/>
      <c r="C135" s="170"/>
      <c r="D135" s="204"/>
      <c r="E135" s="185"/>
      <c r="F135" s="185"/>
      <c r="G135" s="280"/>
      <c r="H135" s="202"/>
      <c r="I135" s="208"/>
      <c r="J135" s="208"/>
      <c r="K135" s="172"/>
      <c r="L135" s="172"/>
      <c r="M135" s="164"/>
      <c r="N135" s="167"/>
      <c r="O135" s="167"/>
    </row>
    <row r="136" spans="2:15">
      <c r="B136" s="169">
        <f>+B134+1</f>
        <v>67</v>
      </c>
      <c r="C136" s="170"/>
      <c r="D136" s="161" t="s">
        <v>397</v>
      </c>
      <c r="E136" s="185" t="s">
        <v>755</v>
      </c>
      <c r="F136" s="167"/>
      <c r="G136" s="145">
        <v>16768065</v>
      </c>
      <c r="H136" s="279" t="s">
        <v>408</v>
      </c>
      <c r="I136" s="257"/>
      <c r="J136" s="257"/>
      <c r="K136" s="167"/>
      <c r="L136" s="256"/>
      <c r="M136" s="167"/>
      <c r="N136" s="167"/>
      <c r="O136" s="167"/>
    </row>
    <row r="137" spans="2:15">
      <c r="B137" s="169">
        <f t="shared" ref="B137:B143" si="4">+B136+1</f>
        <v>68</v>
      </c>
      <c r="C137" s="170"/>
      <c r="D137" s="204" t="s">
        <v>125</v>
      </c>
      <c r="E137" s="167" t="s">
        <v>199</v>
      </c>
      <c r="F137" s="167"/>
      <c r="G137" s="145">
        <v>1361149</v>
      </c>
      <c r="H137" s="202"/>
      <c r="I137" s="257"/>
      <c r="J137" s="161"/>
      <c r="K137" s="167"/>
      <c r="L137" s="256"/>
      <c r="M137" s="172"/>
      <c r="N137" s="167"/>
      <c r="O137" s="167"/>
    </row>
    <row r="138" spans="2:15">
      <c r="B138" s="169">
        <f t="shared" si="4"/>
        <v>69</v>
      </c>
      <c r="C138" s="170"/>
      <c r="D138" s="161" t="s">
        <v>124</v>
      </c>
      <c r="E138" s="167" t="s">
        <v>389</v>
      </c>
      <c r="F138" s="185"/>
      <c r="G138" s="145">
        <v>1915236</v>
      </c>
      <c r="H138" s="202"/>
      <c r="I138" s="257"/>
      <c r="J138" s="281"/>
      <c r="K138" s="167"/>
      <c r="L138" s="256"/>
      <c r="M138" s="167"/>
      <c r="N138" s="167"/>
      <c r="O138" s="167"/>
    </row>
    <row r="139" spans="2:15">
      <c r="B139" s="169">
        <f t="shared" si="4"/>
        <v>70</v>
      </c>
      <c r="C139" s="170"/>
      <c r="D139" s="204" t="s">
        <v>401</v>
      </c>
      <c r="E139" s="167" t="s">
        <v>390</v>
      </c>
      <c r="F139" s="185"/>
      <c r="G139" s="145">
        <v>595</v>
      </c>
      <c r="H139" s="202"/>
      <c r="I139" s="257"/>
      <c r="J139" s="257"/>
      <c r="K139" s="167"/>
      <c r="L139" s="256"/>
      <c r="M139" s="167"/>
      <c r="N139" s="167"/>
      <c r="O139" s="167"/>
    </row>
    <row r="140" spans="2:15" ht="15.75" thickBot="1">
      <c r="B140" s="169">
        <f t="shared" si="4"/>
        <v>71</v>
      </c>
      <c r="C140" s="170"/>
      <c r="D140" s="204" t="s">
        <v>126</v>
      </c>
      <c r="E140" s="167" t="s">
        <v>391</v>
      </c>
      <c r="F140" s="185"/>
      <c r="G140" s="141">
        <v>226616</v>
      </c>
      <c r="H140" s="202"/>
      <c r="I140" s="257"/>
      <c r="J140" s="257"/>
      <c r="K140" s="167"/>
      <c r="L140" s="256"/>
      <c r="M140" s="167"/>
      <c r="N140" s="167"/>
      <c r="O140" s="167"/>
    </row>
    <row r="141" spans="2:15">
      <c r="B141" s="169">
        <f>+B140+1</f>
        <v>72</v>
      </c>
      <c r="C141" s="170"/>
      <c r="D141" s="161" t="s">
        <v>402</v>
      </c>
      <c r="E141" s="185" t="str">
        <f>"(ln "&amp;B136&amp;" - sum ln "&amp;B137&amp;"  to ln "&amp;B140&amp;")"</f>
        <v>(ln 67 - sum ln 68  to ln 71)</v>
      </c>
      <c r="F141" s="185"/>
      <c r="G141" s="202">
        <f>G136-SUM(G137:G140)</f>
        <v>13264469</v>
      </c>
      <c r="H141" s="202"/>
      <c r="I141" s="196" t="s">
        <v>424</v>
      </c>
      <c r="J141" s="190">
        <f>L219</f>
        <v>1</v>
      </c>
      <c r="K141" s="167"/>
      <c r="L141" s="256">
        <f>+J141*G141</f>
        <v>13264469</v>
      </c>
      <c r="M141" s="167"/>
      <c r="N141" s="167"/>
      <c r="O141" s="167"/>
    </row>
    <row r="142" spans="2:15">
      <c r="B142" s="169">
        <f t="shared" si="4"/>
        <v>73</v>
      </c>
      <c r="C142" s="193"/>
      <c r="D142" s="204" t="s">
        <v>481</v>
      </c>
      <c r="E142" s="185" t="str">
        <f>"(ln "&amp;B137&amp;")"</f>
        <v>(ln 68)</v>
      </c>
      <c r="F142" s="185"/>
      <c r="G142" s="202">
        <f>+G137</f>
        <v>1361149</v>
      </c>
      <c r="H142" s="202"/>
      <c r="I142" s="282" t="s">
        <v>630</v>
      </c>
      <c r="J142" s="190">
        <f>J68</f>
        <v>1</v>
      </c>
      <c r="K142" s="185"/>
      <c r="L142" s="202">
        <f>+J142*G142</f>
        <v>1361149</v>
      </c>
      <c r="M142" s="167"/>
      <c r="N142" s="167"/>
      <c r="O142" s="167"/>
    </row>
    <row r="143" spans="2:15">
      <c r="B143" s="169">
        <f t="shared" si="4"/>
        <v>74</v>
      </c>
      <c r="C143" s="170"/>
      <c r="D143" s="204" t="s">
        <v>1</v>
      </c>
      <c r="E143" s="185" t="str">
        <f>"Worksheet F ln "&amp;'WS F Misc Exp'!A44&amp;".(E) (Note L)"</f>
        <v>Worksheet F ln 21.(E) (Note L)</v>
      </c>
      <c r="F143" s="185"/>
      <c r="G143" s="202">
        <f>+'WS F Misc Exp'!F44</f>
        <v>119719.17</v>
      </c>
      <c r="H143" s="202"/>
      <c r="I143" s="196" t="s">
        <v>414</v>
      </c>
      <c r="J143" s="190">
        <f>L209</f>
        <v>1</v>
      </c>
      <c r="K143" s="167"/>
      <c r="L143" s="256">
        <f>J143*G143</f>
        <v>119719.17</v>
      </c>
      <c r="M143" s="167"/>
      <c r="N143" s="167"/>
      <c r="O143" s="167"/>
    </row>
    <row r="144" spans="2:15">
      <c r="B144" s="169">
        <f>B143+1</f>
        <v>75</v>
      </c>
      <c r="C144" s="170"/>
      <c r="D144" s="204" t="s">
        <v>25</v>
      </c>
      <c r="E144" s="185" t="str">
        <f>"Worksheet F ln "&amp;'WS F Misc Exp'!A64&amp;".(E) (Note L)"</f>
        <v>Worksheet F ln 38.(E) (Note L)</v>
      </c>
      <c r="F144" s="185"/>
      <c r="G144" s="188">
        <f>+'WS F Misc Exp'!F64</f>
        <v>0</v>
      </c>
      <c r="H144" s="185"/>
      <c r="I144" s="189" t="s">
        <v>414</v>
      </c>
      <c r="J144" s="190">
        <f>L209</f>
        <v>1</v>
      </c>
      <c r="K144" s="167"/>
      <c r="L144" s="256">
        <f>+J144*G144</f>
        <v>0</v>
      </c>
      <c r="M144" s="167"/>
      <c r="N144" s="167"/>
      <c r="O144" s="167"/>
    </row>
    <row r="145" spans="2:15">
      <c r="B145" s="169">
        <f>+B144+1</f>
        <v>76</v>
      </c>
      <c r="C145" s="170"/>
      <c r="D145" s="204" t="s">
        <v>26</v>
      </c>
      <c r="E145" s="185" t="str">
        <f>"Worksheet F ln "&amp;'WS F Misc Exp'!A73&amp;".(E) (Note L)"</f>
        <v>Worksheet F ln 44.(E) (Note L)</v>
      </c>
      <c r="F145" s="185"/>
      <c r="G145" s="188">
        <f>+'WS F Misc Exp'!F73</f>
        <v>4374.32</v>
      </c>
      <c r="H145" s="283"/>
      <c r="I145" s="189" t="s">
        <v>422</v>
      </c>
      <c r="J145" s="190">
        <v>1</v>
      </c>
      <c r="K145" s="167"/>
      <c r="L145" s="284">
        <f>+J145*G145</f>
        <v>4374.32</v>
      </c>
      <c r="M145" s="167"/>
      <c r="N145" s="167"/>
      <c r="O145" s="167"/>
    </row>
    <row r="146" spans="2:15">
      <c r="B146" s="169">
        <f>+B145+1</f>
        <v>77</v>
      </c>
      <c r="C146" s="170"/>
      <c r="D146" s="1287" t="s">
        <v>792</v>
      </c>
      <c r="E146" s="185" t="str">
        <f>"Worksheet O Ln "&amp;'Worksheet O'!A33&amp;"."&amp;'Worksheet O'!D11&amp;", (Note K &amp; M)"</f>
        <v>Worksheet O Ln 16.(B), (Note K &amp; M)</v>
      </c>
      <c r="F146" s="185"/>
      <c r="G146" s="1219">
        <f>'Worksheet O'!D33</f>
        <v>508433.71927701798</v>
      </c>
      <c r="H146" s="283"/>
      <c r="I146" s="196" t="s">
        <v>424</v>
      </c>
      <c r="J146" s="190">
        <f>L219</f>
        <v>1</v>
      </c>
      <c r="K146" s="167"/>
      <c r="L146" s="1296">
        <f>+J146*G146</f>
        <v>508433.71927701798</v>
      </c>
      <c r="M146" s="167"/>
      <c r="N146" s="167"/>
      <c r="O146" s="167"/>
    </row>
    <row r="147" spans="2:15">
      <c r="B147" s="169">
        <f>+B146+1</f>
        <v>78</v>
      </c>
      <c r="C147" s="170"/>
      <c r="D147" s="161" t="s">
        <v>403</v>
      </c>
      <c r="E147" s="185" t="str">
        <f>"(sum lns "&amp;B141&amp;"  to "&amp;B146&amp;")"</f>
        <v>(sum lns 72  to 77)</v>
      </c>
      <c r="F147" s="185"/>
      <c r="G147" s="256">
        <f>SUM(G141:G146)</f>
        <v>15258145.209277019</v>
      </c>
      <c r="H147" s="202"/>
      <c r="I147" s="196"/>
      <c r="J147" s="257"/>
      <c r="K147" s="167"/>
      <c r="L147" s="256">
        <f>SUM(L141:L146)</f>
        <v>15258145.209277019</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c r="B149" s="169">
        <f>+B147+1</f>
        <v>79</v>
      </c>
      <c r="C149" s="193"/>
      <c r="D149" s="204" t="s">
        <v>196</v>
      </c>
      <c r="E149" s="185" t="str">
        <f>"(ln "&amp;B134&amp;" + ln "&amp;B147&amp;")"</f>
        <v>(ln 66 + ln 78)</v>
      </c>
      <c r="F149" s="185"/>
      <c r="G149" s="202">
        <f>+G134+G147</f>
        <v>51872840.889277019</v>
      </c>
      <c r="H149" s="202"/>
      <c r="I149" s="189"/>
      <c r="J149" s="185"/>
      <c r="K149" s="185"/>
      <c r="L149" s="202">
        <f>L134+L147</f>
        <v>51872840.889277019</v>
      </c>
      <c r="M149" s="167"/>
      <c r="N149" s="167"/>
      <c r="O149" s="167"/>
    </row>
    <row r="150" spans="2:15" ht="15.75" thickBot="1">
      <c r="B150" s="255">
        <f>+B149+1</f>
        <v>80</v>
      </c>
      <c r="C150" s="193"/>
      <c r="D150" s="204" t="s">
        <v>272</v>
      </c>
      <c r="E150" s="204"/>
      <c r="F150" s="185"/>
      <c r="G150" s="141">
        <v>0</v>
      </c>
      <c r="H150" s="202"/>
      <c r="I150" s="196" t="s">
        <v>422</v>
      </c>
      <c r="J150" s="190">
        <f>J63</f>
        <v>1</v>
      </c>
      <c r="K150" s="185"/>
      <c r="L150" s="265">
        <f>J150*G150</f>
        <v>0</v>
      </c>
      <c r="M150" s="167"/>
      <c r="N150" s="167"/>
      <c r="O150" s="167"/>
    </row>
    <row r="151" spans="2:15">
      <c r="B151" s="169">
        <f>+B150+1</f>
        <v>81</v>
      </c>
      <c r="C151" s="170"/>
      <c r="D151" s="204" t="s">
        <v>404</v>
      </c>
      <c r="E151" s="185" t="str">
        <f>"(ln "&amp;B149&amp;" + ln "&amp;B150&amp;")"</f>
        <v>(ln 79 + ln 80)</v>
      </c>
      <c r="F151" s="185"/>
      <c r="G151" s="202">
        <f>+G149+G150</f>
        <v>51872840.889277019</v>
      </c>
      <c r="H151" s="202"/>
      <c r="I151" s="189"/>
      <c r="J151" s="185"/>
      <c r="K151" s="185"/>
      <c r="L151" s="202">
        <f>+L149+L150</f>
        <v>51872840.889277019</v>
      </c>
      <c r="M151" s="167"/>
      <c r="N151" s="167"/>
      <c r="O151" s="167"/>
    </row>
    <row r="152" spans="2:15">
      <c r="B152" s="169"/>
      <c r="C152" s="170"/>
      <c r="D152" s="204"/>
      <c r="E152" s="167"/>
      <c r="F152" s="167"/>
      <c r="G152" s="256"/>
      <c r="H152" s="185"/>
      <c r="I152" s="167"/>
      <c r="J152" s="167"/>
      <c r="K152" s="167"/>
      <c r="L152" s="256"/>
      <c r="M152" s="167"/>
      <c r="N152" s="167"/>
      <c r="O152" s="167"/>
    </row>
    <row r="153" spans="2:15">
      <c r="B153" s="169">
        <f>+B151+1</f>
        <v>82</v>
      </c>
      <c r="C153" s="170"/>
      <c r="D153" s="240" t="s">
        <v>407</v>
      </c>
      <c r="E153" s="189"/>
      <c r="F153" s="189"/>
      <c r="G153" s="256"/>
      <c r="H153" s="185"/>
      <c r="I153" s="196"/>
      <c r="J153" s="167"/>
      <c r="K153" s="167"/>
      <c r="L153" s="256"/>
      <c r="M153" s="167"/>
      <c r="N153" s="167"/>
      <c r="O153" s="167"/>
    </row>
    <row r="154" spans="2:15">
      <c r="B154" s="255">
        <f>+B153+1</f>
        <v>83</v>
      </c>
      <c r="C154" s="170"/>
      <c r="D154" s="233" t="str">
        <f>+D129</f>
        <v xml:space="preserve">  Transmission </v>
      </c>
      <c r="E154" s="184" t="s">
        <v>200</v>
      </c>
      <c r="F154" s="285"/>
      <c r="G154" s="149">
        <v>151463253</v>
      </c>
      <c r="H154" s="286"/>
      <c r="I154" s="287" t="s">
        <v>355</v>
      </c>
      <c r="J154" s="190">
        <f>J71</f>
        <v>1</v>
      </c>
      <c r="K154" s="238"/>
      <c r="L154" s="288">
        <f>J154*G154</f>
        <v>151463253</v>
      </c>
      <c r="M154" s="238"/>
      <c r="N154" s="167"/>
      <c r="O154" s="167"/>
    </row>
    <row r="155" spans="2:15">
      <c r="B155" s="169">
        <f>+B154+1</f>
        <v>84</v>
      </c>
      <c r="C155" s="170"/>
      <c r="D155" s="240" t="s">
        <v>428</v>
      </c>
      <c r="E155" s="285" t="s">
        <v>201</v>
      </c>
      <c r="F155" s="167"/>
      <c r="G155" s="149">
        <v>4911176</v>
      </c>
      <c r="H155" s="202"/>
      <c r="I155" s="196" t="s">
        <v>424</v>
      </c>
      <c r="J155" s="190">
        <f>L219</f>
        <v>1</v>
      </c>
      <c r="K155" s="167"/>
      <c r="L155" s="256">
        <f>+J155*G155</f>
        <v>4911176</v>
      </c>
      <c r="M155" s="167"/>
      <c r="N155" s="185"/>
      <c r="O155" s="167"/>
    </row>
    <row r="156" spans="2:15" ht="15.75" thickBot="1">
      <c r="B156" s="169">
        <f>+B155+1</f>
        <v>85</v>
      </c>
      <c r="C156" s="170"/>
      <c r="D156" s="240" t="s">
        <v>429</v>
      </c>
      <c r="E156" s="234" t="s">
        <v>202</v>
      </c>
      <c r="F156" s="185"/>
      <c r="G156" s="141">
        <v>10411165</v>
      </c>
      <c r="H156" s="202"/>
      <c r="I156" s="196" t="s">
        <v>424</v>
      </c>
      <c r="J156" s="190">
        <f>L219</f>
        <v>1</v>
      </c>
      <c r="K156" s="167"/>
      <c r="L156" s="265">
        <f>+J156*G156</f>
        <v>10411165</v>
      </c>
      <c r="M156" s="167"/>
      <c r="N156" s="185"/>
      <c r="O156" s="167"/>
    </row>
    <row r="157" spans="2:15" ht="15" customHeight="1">
      <c r="B157" s="169">
        <f>+B156+1</f>
        <v>86</v>
      </c>
      <c r="C157" s="170"/>
      <c r="D157" s="240" t="s">
        <v>96</v>
      </c>
      <c r="E157" s="289" t="str">
        <f>"(Ln "&amp;B154&amp;"+"&amp;B155&amp;"+"&amp;B156&amp;")"</f>
        <v>(Ln 83+84+85)</v>
      </c>
      <c r="F157" s="167"/>
      <c r="G157" s="202">
        <f>+G154+G155+G156</f>
        <v>166785594</v>
      </c>
      <c r="H157" s="185"/>
      <c r="I157" s="196"/>
      <c r="J157" s="167"/>
      <c r="K157" s="167"/>
      <c r="L157" s="202">
        <f>+L154+L155+L156</f>
        <v>166785594</v>
      </c>
      <c r="M157" s="167"/>
      <c r="N157" s="167"/>
      <c r="O157" s="167"/>
    </row>
    <row r="158" spans="2:15">
      <c r="B158" s="169"/>
      <c r="C158" s="170"/>
      <c r="D158" s="240"/>
      <c r="E158" s="290"/>
      <c r="F158" s="167"/>
      <c r="G158" s="256"/>
      <c r="H158" s="185"/>
      <c r="I158" s="196"/>
      <c r="J158" s="167"/>
      <c r="K158" s="167"/>
      <c r="L158" s="256"/>
      <c r="M158" s="167"/>
      <c r="N158" s="167"/>
      <c r="O158" s="167"/>
    </row>
    <row r="159" spans="2:15">
      <c r="B159" s="169">
        <f>+B157+1</f>
        <v>87</v>
      </c>
      <c r="C159" s="170"/>
      <c r="D159" s="240" t="s">
        <v>359</v>
      </c>
      <c r="E159" s="159" t="s">
        <v>203</v>
      </c>
      <c r="G159" s="256"/>
      <c r="H159" s="185"/>
      <c r="I159" s="196"/>
      <c r="J159" s="167"/>
      <c r="K159" s="167"/>
      <c r="L159" s="256"/>
      <c r="M159" s="167"/>
      <c r="N159" s="291"/>
      <c r="O159" s="167"/>
    </row>
    <row r="160" spans="2:15">
      <c r="B160" s="169">
        <f t="shared" ref="B160:B165" si="5">+B159+1</f>
        <v>88</v>
      </c>
      <c r="C160" s="170"/>
      <c r="D160" s="240" t="s">
        <v>430</v>
      </c>
      <c r="G160" s="256"/>
      <c r="H160" s="185"/>
      <c r="I160" s="196"/>
      <c r="K160" s="167"/>
      <c r="L160" s="256"/>
      <c r="M160" s="167"/>
      <c r="N160" s="167"/>
      <c r="O160" s="167"/>
    </row>
    <row r="161" spans="2:15">
      <c r="B161" s="169">
        <f t="shared" si="5"/>
        <v>89</v>
      </c>
      <c r="C161" s="170"/>
      <c r="D161" s="240" t="s">
        <v>431</v>
      </c>
      <c r="E161" s="185" t="str">
        <f>"Worksheet H ln "&amp;'WS H-p1 Other Taxes'!A43&amp;"."&amp;'WS H-p1 Other Taxes'!I10&amp;""</f>
        <v>Worksheet H ln 23.(D)</v>
      </c>
      <c r="F161" s="167"/>
      <c r="G161" s="202">
        <f>+'WS H-p1 Other Taxes'!I43</f>
        <v>0</v>
      </c>
      <c r="H161" s="202"/>
      <c r="I161" s="196" t="s">
        <v>424</v>
      </c>
      <c r="J161" s="190">
        <f>L219</f>
        <v>1</v>
      </c>
      <c r="K161" s="167"/>
      <c r="L161" s="256">
        <f>+J161*G161</f>
        <v>0</v>
      </c>
      <c r="M161" s="261"/>
      <c r="N161" s="167"/>
      <c r="O161" s="167"/>
    </row>
    <row r="162" spans="2:15">
      <c r="B162" s="169">
        <f t="shared" si="5"/>
        <v>90</v>
      </c>
      <c r="C162" s="170"/>
      <c r="D162" s="240" t="s">
        <v>432</v>
      </c>
      <c r="E162" s="185" t="s">
        <v>408</v>
      </c>
      <c r="F162" s="167"/>
      <c r="G162" s="202"/>
      <c r="H162" s="202"/>
      <c r="I162" s="196"/>
      <c r="K162" s="167"/>
      <c r="L162" s="256"/>
      <c r="M162" s="185"/>
      <c r="N162" s="167"/>
      <c r="O162" s="167"/>
    </row>
    <row r="163" spans="2:15">
      <c r="B163" s="192">
        <f t="shared" si="5"/>
        <v>91</v>
      </c>
      <c r="C163" s="193"/>
      <c r="D163" s="239" t="s">
        <v>433</v>
      </c>
      <c r="E163" s="185" t="str">
        <f>"Worksheet H-p2 ln "&amp;'WS H-p2 Detail of Tax Amts'!A22&amp;"."&amp;'WS H-p2 Detail of Tax Amts'!E19&amp; " &amp; ln "&amp;'WS H-p2 Detail of Tax Amts'!A22&amp;"."&amp;'WS H-p2 Detail of Tax Amts'!I19&amp;""</f>
        <v>Worksheet H-p2 ln 3.(C) &amp; ln 3.(G)</v>
      </c>
      <c r="F163" s="185"/>
      <c r="G163" s="202">
        <f>'WS H-p2 Detail of Tax Amts'!E22</f>
        <v>215201130.88</v>
      </c>
      <c r="H163" s="202"/>
      <c r="I163" s="189" t="s">
        <v>422</v>
      </c>
      <c r="J163" s="190">
        <v>1</v>
      </c>
      <c r="K163" s="185"/>
      <c r="L163" s="202">
        <f>'WS H-p2 Detail of Tax Amts'!I22</f>
        <v>215201130.88</v>
      </c>
      <c r="M163" s="292"/>
      <c r="N163" s="291"/>
      <c r="O163" s="185"/>
    </row>
    <row r="164" spans="2:15">
      <c r="B164" s="169">
        <f t="shared" si="5"/>
        <v>92</v>
      </c>
      <c r="C164" s="170"/>
      <c r="D164" s="240" t="s">
        <v>484</v>
      </c>
      <c r="E164" s="185" t="str">
        <f>"Worksheet H ln "&amp;'WS H-p1 Other Taxes'!A43&amp;"."&amp;'WS H-p1 Other Taxes'!M10&amp;""</f>
        <v>Worksheet H ln 23.(F)</v>
      </c>
      <c r="F164" s="167"/>
      <c r="G164" s="202">
        <f>+'WS H-p1 Other Taxes'!M43</f>
        <v>179501</v>
      </c>
      <c r="H164" s="262"/>
      <c r="I164" s="196" t="s">
        <v>420</v>
      </c>
      <c r="J164" s="190">
        <v>0</v>
      </c>
      <c r="K164" s="167"/>
      <c r="L164" s="256">
        <f>+J164*G164</f>
        <v>0</v>
      </c>
      <c r="M164" s="185"/>
      <c r="N164" s="167"/>
      <c r="O164" s="167"/>
    </row>
    <row r="165" spans="2:15" ht="15.75" thickBot="1">
      <c r="B165" s="169">
        <f t="shared" si="5"/>
        <v>93</v>
      </c>
      <c r="C165" s="170"/>
      <c r="D165" s="240" t="s">
        <v>434</v>
      </c>
      <c r="E165" s="185" t="str">
        <f>"Worksheet H ln "&amp;'WS H-p1 Other Taxes'!A43&amp;"."&amp;'WS H-p1 Other Taxes'!K10&amp;""</f>
        <v>Worksheet H ln 23.(E)</v>
      </c>
      <c r="F165" s="167"/>
      <c r="G165" s="241">
        <f>+'WS H-p1 Other Taxes'!K43</f>
        <v>0</v>
      </c>
      <c r="H165" s="262"/>
      <c r="I165" s="196" t="s">
        <v>758</v>
      </c>
      <c r="J165" s="190">
        <f>J68</f>
        <v>1</v>
      </c>
      <c r="K165" s="167"/>
      <c r="L165" s="265">
        <f>+J165*G165</f>
        <v>0</v>
      </c>
      <c r="M165" s="185"/>
      <c r="N165" s="167"/>
      <c r="O165" s="167"/>
    </row>
    <row r="166" spans="2:15">
      <c r="B166" s="169">
        <f>+B165+1</f>
        <v>94</v>
      </c>
      <c r="C166" s="170"/>
      <c r="D166" s="240" t="s">
        <v>360</v>
      </c>
      <c r="E166" s="195" t="str">
        <f>"(sum lns "&amp;B161&amp;" to "&amp;B165&amp;")"</f>
        <v>(sum lns 89 to 93)</v>
      </c>
      <c r="F166" s="167"/>
      <c r="G166" s="202">
        <f>SUM(G161:G165)</f>
        <v>215380631.88</v>
      </c>
      <c r="H166" s="185"/>
      <c r="I166" s="196"/>
      <c r="J166" s="293"/>
      <c r="K166" s="167"/>
      <c r="L166" s="256">
        <f>SUM(L161:L165)</f>
        <v>215201130.88</v>
      </c>
      <c r="M166" s="167"/>
      <c r="N166" s="167"/>
      <c r="O166" s="167"/>
    </row>
    <row r="167" spans="2:15">
      <c r="B167" s="169"/>
      <c r="C167" s="170"/>
      <c r="D167" s="240"/>
      <c r="E167" s="167"/>
      <c r="F167" s="167"/>
      <c r="G167" s="167"/>
      <c r="H167" s="185"/>
      <c r="I167" s="196"/>
      <c r="J167" s="293"/>
      <c r="K167" s="167"/>
      <c r="L167" s="167"/>
      <c r="M167" s="294"/>
      <c r="N167" s="167"/>
      <c r="O167" s="167"/>
    </row>
    <row r="168" spans="2:15">
      <c r="B168" s="169">
        <f>+B166+1</f>
        <v>95</v>
      </c>
      <c r="C168" s="170"/>
      <c r="D168" s="240" t="s">
        <v>131</v>
      </c>
      <c r="E168" s="185" t="s">
        <v>204</v>
      </c>
      <c r="F168" s="295"/>
      <c r="G168" s="167"/>
      <c r="H168" s="208"/>
      <c r="I168" s="270"/>
      <c r="K168" s="167"/>
      <c r="L168" s="296"/>
      <c r="M168" s="167"/>
      <c r="N168" s="167"/>
      <c r="O168" s="167"/>
    </row>
    <row r="169" spans="2:15">
      <c r="B169" s="169">
        <f t="shared" ref="B169:B174" si="6">+B168+1</f>
        <v>96</v>
      </c>
      <c r="C169" s="170"/>
      <c r="D169" s="297" t="s">
        <v>132</v>
      </c>
      <c r="E169" s="167"/>
      <c r="F169" s="298"/>
      <c r="G169" s="299">
        <f>IF(F340&gt;0,1-(((1-F341)*(1-F340))/(1-F341*F340*F342)),0)</f>
        <v>0.21197499999999991</v>
      </c>
      <c r="H169" s="300"/>
      <c r="I169" s="300"/>
      <c r="K169" s="301"/>
      <c r="L169" s="296"/>
      <c r="M169" s="167"/>
      <c r="N169" s="167"/>
      <c r="O169" s="167"/>
    </row>
    <row r="170" spans="2:15">
      <c r="B170" s="169">
        <f t="shared" si="6"/>
        <v>97</v>
      </c>
      <c r="C170" s="170"/>
      <c r="D170" s="260" t="s">
        <v>133</v>
      </c>
      <c r="E170" s="167"/>
      <c r="F170" s="298"/>
      <c r="G170" s="299">
        <f>IF(L233&gt;0,($G169/(1-$G169))*(1-$L233/$L236),0)</f>
        <v>0.20026899480178309</v>
      </c>
      <c r="H170" s="300"/>
      <c r="I170" s="300"/>
      <c r="K170" s="301"/>
      <c r="L170" s="296"/>
      <c r="M170" s="167"/>
      <c r="N170" s="167"/>
      <c r="O170" s="167"/>
    </row>
    <row r="171" spans="2:15">
      <c r="B171" s="169">
        <f t="shared" si="6"/>
        <v>98</v>
      </c>
      <c r="C171" s="170"/>
      <c r="D171" s="239" t="str">
        <f>"       where WCLTD=(ln "&amp;B233&amp;") and WACC = (ln "&amp;B236&amp;")"</f>
        <v xml:space="preserve">       where WCLTD=(ln 136) and WACC = (ln 139)</v>
      </c>
      <c r="E171" s="185"/>
      <c r="F171" s="302"/>
      <c r="G171" s="167"/>
      <c r="H171" s="300"/>
      <c r="I171" s="300"/>
      <c r="J171" s="303"/>
      <c r="K171" s="301"/>
      <c r="L171" s="304"/>
      <c r="M171" s="167"/>
      <c r="N171" s="167"/>
      <c r="O171" s="167"/>
    </row>
    <row r="172" spans="2:15">
      <c r="B172" s="169">
        <f t="shared" si="6"/>
        <v>99</v>
      </c>
      <c r="C172" s="170"/>
      <c r="D172" s="240" t="s">
        <v>205</v>
      </c>
      <c r="E172" s="305"/>
      <c r="F172" s="298"/>
      <c r="G172" s="167"/>
      <c r="H172" s="208"/>
      <c r="I172" s="270"/>
      <c r="J172" s="303"/>
      <c r="K172" s="301"/>
      <c r="L172" s="296"/>
      <c r="M172" s="167"/>
      <c r="N172" s="167"/>
      <c r="O172" s="167"/>
    </row>
    <row r="173" spans="2:15">
      <c r="B173" s="169">
        <f t="shared" si="6"/>
        <v>100</v>
      </c>
      <c r="C173" s="170"/>
      <c r="D173" s="306" t="str">
        <f>"      GRCF=1 / (1 - T)  = (from ln "&amp;B169&amp;")"</f>
        <v xml:space="preserve">      GRCF=1 / (1 - T)  = (from ln 96)</v>
      </c>
      <c r="E173" s="295"/>
      <c r="F173" s="295"/>
      <c r="G173" s="307">
        <f>IF(G169&gt;0,1/(1-G169),0)</f>
        <v>1.2689952729926079</v>
      </c>
      <c r="H173" s="208"/>
      <c r="I173" s="212"/>
      <c r="J173" s="308"/>
      <c r="K173" s="309"/>
      <c r="L173" s="310"/>
      <c r="M173" s="167"/>
      <c r="N173" s="167"/>
      <c r="O173" s="167"/>
    </row>
    <row r="174" spans="2:15">
      <c r="B174" s="169">
        <f t="shared" si="6"/>
        <v>101</v>
      </c>
      <c r="C174" s="170"/>
      <c r="D174" s="239" t="s">
        <v>134</v>
      </c>
      <c r="E174" s="250" t="s">
        <v>292</v>
      </c>
      <c r="F174" s="302"/>
      <c r="G174" s="149">
        <v>0</v>
      </c>
      <c r="H174" s="347"/>
      <c r="I174" s="282"/>
      <c r="J174" s="1225"/>
      <c r="K174" s="202"/>
      <c r="L174" s="159"/>
      <c r="M174" s="196"/>
      <c r="N174" s="167"/>
      <c r="O174" s="167"/>
    </row>
    <row r="175" spans="2:15">
      <c r="B175" s="169">
        <f t="shared" ref="B175:B181" si="7">+B174+1</f>
        <v>102</v>
      </c>
      <c r="C175" s="170"/>
      <c r="D175" s="239" t="s">
        <v>552</v>
      </c>
      <c r="E175" s="185" t="s">
        <v>759</v>
      </c>
      <c r="F175" s="1217"/>
      <c r="G175" s="149">
        <v>422204.51614201366</v>
      </c>
      <c r="H175" s="347"/>
      <c r="I175" s="314" t="s">
        <v>634</v>
      </c>
      <c r="J175" s="190">
        <f>NP_h</f>
        <v>1</v>
      </c>
      <c r="K175" s="202"/>
      <c r="L175" s="188">
        <f>+G175*J175</f>
        <v>422204.51614201366</v>
      </c>
      <c r="M175" s="167"/>
      <c r="N175" s="167"/>
      <c r="O175" s="167"/>
    </row>
    <row r="176" spans="2:15">
      <c r="B176" s="169">
        <f t="shared" si="7"/>
        <v>103</v>
      </c>
      <c r="C176" s="170"/>
      <c r="D176" s="239" t="s">
        <v>633</v>
      </c>
      <c r="E176" s="185" t="s">
        <v>759</v>
      </c>
      <c r="F176" s="1217"/>
      <c r="G176" s="149">
        <v>1008210.0475493385</v>
      </c>
      <c r="H176" s="347"/>
      <c r="I176" s="314" t="s">
        <v>634</v>
      </c>
      <c r="J176" s="190">
        <f>NP_h</f>
        <v>1</v>
      </c>
      <c r="K176" s="202"/>
      <c r="L176" s="188">
        <f>+G176*J176</f>
        <v>1008210.0475493385</v>
      </c>
      <c r="M176" s="167"/>
      <c r="N176" s="167"/>
      <c r="O176" s="167"/>
    </row>
    <row r="177" spans="2:15">
      <c r="B177" s="169">
        <f t="shared" si="7"/>
        <v>104</v>
      </c>
      <c r="C177" s="170"/>
      <c r="D177" s="306" t="s">
        <v>135</v>
      </c>
      <c r="E177" s="311" t="str">
        <f>"(ln "&amp;B170&amp;" * ln "&amp;B183&amp;")"</f>
        <v>(ln 97 * ln 109)</v>
      </c>
      <c r="F177" s="312"/>
      <c r="G177" s="202">
        <f>+G170*G183</f>
        <v>61379106.837991387</v>
      </c>
      <c r="H177" s="347"/>
      <c r="I177" s="282"/>
      <c r="J177" s="1218"/>
      <c r="K177" s="202"/>
      <c r="L177" s="202">
        <f>+L183*G170</f>
        <v>63532077.371723972</v>
      </c>
      <c r="M177" s="167"/>
      <c r="N177" s="167"/>
      <c r="O177" s="167"/>
    </row>
    <row r="178" spans="2:15">
      <c r="B178" s="169">
        <f t="shared" si="7"/>
        <v>105</v>
      </c>
      <c r="C178" s="170"/>
      <c r="D178" s="326" t="s">
        <v>136</v>
      </c>
      <c r="E178" s="311" t="str">
        <f>"(ln "&amp;B173&amp;" * ln "&amp;B174&amp;")"</f>
        <v>(ln 100 * ln 101)</v>
      </c>
      <c r="F178" s="311"/>
      <c r="G178" s="188">
        <f>G173*G174</f>
        <v>0</v>
      </c>
      <c r="H178" s="347"/>
      <c r="I178" s="314" t="s">
        <v>634</v>
      </c>
      <c r="J178" s="190">
        <f>NP_h</f>
        <v>1</v>
      </c>
      <c r="K178" s="202"/>
      <c r="L178" s="188">
        <f>+G178*J178</f>
        <v>0</v>
      </c>
      <c r="M178" s="167"/>
      <c r="N178" s="167"/>
      <c r="O178" s="167"/>
    </row>
    <row r="179" spans="2:15">
      <c r="B179" s="169">
        <f t="shared" si="7"/>
        <v>106</v>
      </c>
      <c r="C179" s="170"/>
      <c r="D179" s="326" t="s">
        <v>552</v>
      </c>
      <c r="E179" s="311" t="str">
        <f>"(ln "&amp;B173&amp;" * ln "&amp;B175&amp;")"</f>
        <v>(ln 100 * ln 102)</v>
      </c>
      <c r="F179" s="311"/>
      <c r="G179" s="188">
        <f>G173*G175</f>
        <v>535775.53522034653</v>
      </c>
      <c r="H179" s="347"/>
      <c r="I179" s="314"/>
      <c r="J179" s="190"/>
      <c r="K179" s="202"/>
      <c r="L179" s="188">
        <f>G173*L175</f>
        <v>535775.53522034653</v>
      </c>
      <c r="M179" s="167"/>
      <c r="N179" s="167"/>
      <c r="O179" s="167"/>
    </row>
    <row r="180" spans="2:15">
      <c r="B180" s="169">
        <f t="shared" si="7"/>
        <v>107</v>
      </c>
      <c r="C180" s="170"/>
      <c r="D180" s="239" t="s">
        <v>633</v>
      </c>
      <c r="E180" s="311" t="str">
        <f>"(ln "&amp;B173&amp;" * ln "&amp;B176&amp;")"</f>
        <v>(ln 100 * ln 103)</v>
      </c>
      <c r="F180" s="311"/>
      <c r="G180" s="1219">
        <f>G173*G176</f>
        <v>1279413.784523763</v>
      </c>
      <c r="H180" s="347"/>
      <c r="I180" s="314"/>
      <c r="J180" s="190"/>
      <c r="K180" s="202"/>
      <c r="L180" s="1219">
        <f>G173*L176</f>
        <v>1279413.784523763</v>
      </c>
      <c r="M180" s="167"/>
      <c r="N180" s="167"/>
      <c r="O180" s="167"/>
    </row>
    <row r="181" spans="2:15">
      <c r="B181" s="255">
        <f t="shared" si="7"/>
        <v>108</v>
      </c>
      <c r="C181" s="170"/>
      <c r="D181" s="297" t="s">
        <v>361</v>
      </c>
      <c r="E181" s="167" t="str">
        <f>"(sum lns "&amp;B177&amp;" to "&amp;B180&amp;")"</f>
        <v>(sum lns 104 to 107)</v>
      </c>
      <c r="F181" s="311"/>
      <c r="G181" s="314">
        <f>SUM(G177:G180)</f>
        <v>63194296.157735497</v>
      </c>
      <c r="H181" s="208"/>
      <c r="I181" s="212" t="s">
        <v>408</v>
      </c>
      <c r="J181" s="315"/>
      <c r="K181" s="256"/>
      <c r="L181" s="314">
        <f>SUM(L177:L180)</f>
        <v>65347266.691468082</v>
      </c>
      <c r="M181" s="167"/>
      <c r="N181" s="167"/>
      <c r="O181" s="167"/>
    </row>
    <row r="182" spans="2:15">
      <c r="B182" s="255"/>
      <c r="C182" s="170"/>
      <c r="D182" s="297"/>
      <c r="E182" s="167"/>
      <c r="F182" s="311"/>
      <c r="G182" s="314"/>
      <c r="H182" s="208"/>
      <c r="I182" s="212"/>
      <c r="J182" s="315"/>
      <c r="K182" s="256"/>
      <c r="L182" s="314"/>
      <c r="M182" s="167"/>
      <c r="N182" s="167"/>
      <c r="O182" s="167"/>
    </row>
    <row r="183" spans="2:15">
      <c r="B183" s="255">
        <f>+B181+1</f>
        <v>109</v>
      </c>
      <c r="C183" s="170"/>
      <c r="D183" s="306" t="s">
        <v>483</v>
      </c>
      <c r="E183" s="306" t="str">
        <f>"(ln "&amp;B112&amp;" * ln "&amp;B236&amp;")"</f>
        <v>(ln 58 * ln 139)</v>
      </c>
      <c r="F183" s="267"/>
      <c r="G183" s="316">
        <f>+$L236*G112</f>
        <v>306483322.08758307</v>
      </c>
      <c r="H183" s="185"/>
      <c r="I183" s="212"/>
      <c r="J183" s="256"/>
      <c r="K183" s="256"/>
      <c r="L183" s="316">
        <f>+L236*L112</f>
        <v>317233715.75617611</v>
      </c>
      <c r="M183" s="167"/>
      <c r="N183" s="296"/>
      <c r="O183" s="296"/>
    </row>
    <row r="184" spans="2:15">
      <c r="B184" s="169"/>
      <c r="C184" s="170"/>
      <c r="D184" s="297"/>
      <c r="G184" s="256"/>
      <c r="H184" s="256"/>
      <c r="I184" s="212"/>
      <c r="J184" s="212"/>
      <c r="K184" s="256"/>
      <c r="L184" s="256"/>
      <c r="M184" s="167"/>
    </row>
    <row r="185" spans="2:15">
      <c r="B185" s="169">
        <f>+B183+1</f>
        <v>110</v>
      </c>
      <c r="C185" s="170"/>
      <c r="D185" s="317" t="s">
        <v>392</v>
      </c>
      <c r="F185" s="285"/>
      <c r="G185" s="202">
        <f>-'WS D IPP Credits'!C13</f>
        <v>0</v>
      </c>
      <c r="H185" s="202"/>
      <c r="I185" s="264" t="s">
        <v>422</v>
      </c>
      <c r="J185" s="190">
        <v>1</v>
      </c>
      <c r="K185" s="288"/>
      <c r="L185" s="256">
        <f>+J185*G185</f>
        <v>0</v>
      </c>
      <c r="M185" s="238"/>
    </row>
    <row r="186" spans="2:15">
      <c r="B186" s="169"/>
      <c r="C186" s="170"/>
      <c r="D186" s="317"/>
      <c r="F186" s="285"/>
      <c r="G186" s="202"/>
      <c r="H186" s="202"/>
      <c r="I186" s="264"/>
      <c r="J186" s="190"/>
      <c r="K186" s="288"/>
      <c r="L186" s="256"/>
      <c r="M186" s="238"/>
    </row>
    <row r="187" spans="2: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5">
      <c r="B188" s="169"/>
      <c r="C188" s="170"/>
      <c r="D188" s="317"/>
      <c r="E188" s="159"/>
      <c r="F188" s="234"/>
      <c r="G188" s="202"/>
      <c r="H188" s="202"/>
      <c r="I188" s="318"/>
      <c r="J188" s="190"/>
      <c r="K188" s="237"/>
      <c r="L188" s="202"/>
      <c r="M188" s="236"/>
    </row>
    <row r="189" spans="2:15">
      <c r="B189" s="169">
        <f>+B187+1</f>
        <v>112</v>
      </c>
      <c r="C189" s="170"/>
      <c r="D189" s="317" t="str">
        <f>" Tax Impact on Net Loss / (Gain) on Sales of Plant Held for Future Use (ln "&amp;B187&amp;" * ln"&amp;B170&amp;")"</f>
        <v xml:space="preserve"> Tax Impact on Net Loss / (Gain) on Sales of Plant Held for Future Use (ln 111 * ln97)</v>
      </c>
      <c r="E189" s="159"/>
      <c r="F189" s="234"/>
      <c r="G189" s="202">
        <f>-+G170*G187</f>
        <v>0</v>
      </c>
      <c r="H189" s="202"/>
      <c r="I189" s="318"/>
      <c r="J189" s="190"/>
      <c r="K189" s="237"/>
      <c r="L189" s="202">
        <f>L187*-G170</f>
        <v>0</v>
      </c>
      <c r="M189" s="236"/>
    </row>
    <row r="190" spans="2:15" ht="15.75" thickBot="1">
      <c r="B190" s="169"/>
      <c r="C190" s="170"/>
      <c r="D190" s="240"/>
      <c r="G190" s="265"/>
      <c r="H190" s="319"/>
      <c r="I190" s="212"/>
      <c r="J190" s="212"/>
      <c r="K190" s="256"/>
      <c r="L190" s="265"/>
      <c r="M190" s="167"/>
    </row>
    <row r="191" spans="2:15" ht="15.75" thickBot="1">
      <c r="B191" s="169">
        <f>+B189+1</f>
        <v>113</v>
      </c>
      <c r="C191" s="170"/>
      <c r="D191" s="154" t="s">
        <v>40</v>
      </c>
      <c r="G191" s="320">
        <f>+G185+G183+G181+G166+G157+G151+G187+G189</f>
        <v>803716685.01459551</v>
      </c>
      <c r="L191" s="320">
        <f>+L185+L183+L181+L166+L157+L151+L187+L189</f>
        <v>816440548.21692109</v>
      </c>
      <c r="M191" s="167"/>
    </row>
    <row r="192" spans="2:15" ht="15.75" thickTop="1">
      <c r="B192" s="169"/>
      <c r="C192" s="170"/>
      <c r="D192" s="161" t="str">
        <f>"    (sum lns "&amp;B151&amp;", "&amp;B157&amp;", "&amp;B166&amp;", "&amp;B181&amp;", "&amp;B183&amp;", "&amp;B185&amp;", "&amp;B187&amp;", "&amp;B189&amp;")"</f>
        <v xml:space="preserve">    (sum lns 81, 86, 94, 108, 109, 110, 111, 112)</v>
      </c>
      <c r="F192" s="321"/>
      <c r="M192" s="167"/>
    </row>
    <row r="193" spans="2:16">
      <c r="B193" s="169"/>
      <c r="C193" s="170"/>
      <c r="F193" s="321"/>
      <c r="M193" s="167"/>
    </row>
    <row r="194" spans="2:16">
      <c r="B194" s="169"/>
      <c r="C194" s="170"/>
      <c r="D194" s="161"/>
      <c r="F194" s="270" t="str">
        <f>F115</f>
        <v>AEPTCo subsidiaries in PJM</v>
      </c>
      <c r="M194" s="269"/>
    </row>
    <row r="195" spans="2:16">
      <c r="B195" s="169"/>
      <c r="C195" s="170"/>
      <c r="D195" s="161"/>
      <c r="F195" s="270" t="str">
        <f>F116</f>
        <v>Transmission Cost of Service Formula Rate</v>
      </c>
      <c r="M195" s="269"/>
    </row>
    <row r="196" spans="2:16">
      <c r="B196" s="154"/>
      <c r="C196" s="170"/>
      <c r="F196" s="270" t="str">
        <f>F117</f>
        <v>Utilizing  Actual/Projected FERC Form 1 Data</v>
      </c>
      <c r="M196" s="218"/>
    </row>
    <row r="197" spans="2:16">
      <c r="B197" s="169"/>
      <c r="C197" s="170"/>
      <c r="E197" s="270"/>
      <c r="F197" s="270"/>
      <c r="G197" s="270"/>
      <c r="H197" s="270"/>
      <c r="I197" s="270"/>
      <c r="J197" s="270"/>
      <c r="K197" s="270"/>
      <c r="M197" s="167"/>
    </row>
    <row r="198" spans="2:16">
      <c r="B198" s="169"/>
      <c r="C198" s="170"/>
      <c r="E198" s="161"/>
      <c r="F198" s="270" t="str">
        <f>F119</f>
        <v>AEP Ohio Transmission Company</v>
      </c>
      <c r="G198" s="161"/>
      <c r="H198" s="161"/>
      <c r="I198" s="161"/>
      <c r="J198" s="161"/>
      <c r="K198" s="161"/>
      <c r="L198" s="161"/>
      <c r="M198" s="161"/>
    </row>
    <row r="199" spans="2:16">
      <c r="B199" s="169"/>
      <c r="C199" s="170"/>
      <c r="E199" s="161"/>
      <c r="F199" s="270"/>
      <c r="G199" s="161"/>
      <c r="H199" s="161"/>
      <c r="I199" s="161"/>
      <c r="J199" s="161"/>
      <c r="K199" s="161"/>
      <c r="L199" s="161"/>
      <c r="M199" s="161"/>
    </row>
    <row r="200" spans="2:16" ht="15.75">
      <c r="B200" s="169"/>
      <c r="C200" s="170"/>
      <c r="F200" s="273" t="s">
        <v>366</v>
      </c>
      <c r="H200" s="164"/>
      <c r="I200" s="164"/>
      <c r="J200" s="164"/>
      <c r="K200" s="164"/>
      <c r="L200" s="164"/>
      <c r="M200" s="167"/>
    </row>
    <row r="201" spans="2:16" ht="15.75">
      <c r="B201" s="169"/>
      <c r="C201" s="170"/>
      <c r="D201" s="322"/>
      <c r="E201" s="164"/>
      <c r="F201" s="164"/>
      <c r="G201" s="164"/>
      <c r="H201" s="164"/>
      <c r="I201" s="164"/>
      <c r="J201" s="164"/>
      <c r="K201" s="164"/>
      <c r="L201" s="164"/>
      <c r="M201" s="167"/>
    </row>
    <row r="202" spans="2:16" ht="15.75">
      <c r="B202" s="169" t="s">
        <v>410</v>
      </c>
      <c r="C202" s="170"/>
      <c r="D202" s="322"/>
      <c r="E202" s="164"/>
      <c r="F202" s="164"/>
      <c r="G202" s="164"/>
      <c r="H202" s="164"/>
      <c r="I202" s="164"/>
      <c r="J202" s="164"/>
      <c r="K202" s="164"/>
      <c r="L202" s="164"/>
      <c r="M202" s="167"/>
      <c r="N202" s="159"/>
      <c r="O202" s="159"/>
    </row>
    <row r="203" spans="2:16" ht="15.75" thickBot="1">
      <c r="B203" s="176" t="s">
        <v>411</v>
      </c>
      <c r="C203" s="177"/>
      <c r="D203" s="204" t="s">
        <v>504</v>
      </c>
      <c r="E203" s="180"/>
      <c r="F203" s="180"/>
      <c r="G203" s="180"/>
      <c r="H203" s="180"/>
      <c r="I203" s="180"/>
      <c r="J203" s="180"/>
      <c r="K203" s="159"/>
      <c r="M203" s="167"/>
      <c r="N203" s="159"/>
      <c r="O203" s="159"/>
      <c r="P203" s="172"/>
    </row>
    <row r="204" spans="2:16">
      <c r="B204" s="169">
        <f>+B191+1</f>
        <v>114</v>
      </c>
      <c r="C204" s="170"/>
      <c r="D204" s="180" t="s">
        <v>458</v>
      </c>
      <c r="E204" s="323" t="str">
        <f>"(ln "&amp;B63&amp;")"</f>
        <v>(ln 19)</v>
      </c>
      <c r="F204" s="324"/>
      <c r="H204" s="325"/>
      <c r="I204" s="325"/>
      <c r="J204" s="325"/>
      <c r="K204" s="325"/>
      <c r="L204" s="188">
        <f>+G63</f>
        <v>5269420774.6530771</v>
      </c>
      <c r="M204" s="167"/>
      <c r="N204" s="159"/>
      <c r="O204" s="159"/>
      <c r="P204" s="172"/>
    </row>
    <row r="205" spans="2:16">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f>'WS A - Rate Base Support'!E62</f>
        <v>0</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c r="B207" s="169">
        <f>+B206+1</f>
        <v>117</v>
      </c>
      <c r="C207" s="170"/>
      <c r="D207" s="180" t="s">
        <v>505</v>
      </c>
      <c r="E207" s="328" t="str">
        <f>"(ln "&amp;B204&amp;" - ln "&amp;B205&amp;" - ln "&amp;B206&amp;")"</f>
        <v>(ln 114 - ln 115 - ln 116)</v>
      </c>
      <c r="F207" s="324"/>
      <c r="H207" s="325"/>
      <c r="I207" s="325"/>
      <c r="J207" s="230"/>
      <c r="K207" s="325"/>
      <c r="L207" s="188">
        <f>L204-L205-L206</f>
        <v>5269420774.6530771</v>
      </c>
      <c r="M207" s="167"/>
      <c r="P207" s="172"/>
    </row>
    <row r="208" spans="2:16" ht="9" customHeight="1">
      <c r="B208" s="169"/>
      <c r="C208" s="170"/>
      <c r="D208" s="159"/>
      <c r="E208" s="324"/>
      <c r="F208" s="324"/>
      <c r="G208" s="230"/>
      <c r="H208" s="325"/>
      <c r="I208" s="325"/>
      <c r="J208" s="230"/>
      <c r="K208" s="325"/>
      <c r="L208" s="326"/>
      <c r="M208" s="167"/>
      <c r="P208" s="172"/>
    </row>
    <row r="209" spans="2:24" ht="15.75" customHeight="1">
      <c r="B209" s="169">
        <f>+B207+1</f>
        <v>118</v>
      </c>
      <c r="C209" s="170"/>
      <c r="D209" s="180" t="s">
        <v>506</v>
      </c>
      <c r="E209" s="329" t="str">
        <f>"(ln "&amp;B207&amp;" / ln "&amp;B204&amp;")"</f>
        <v>(ln 117 / ln 114)</v>
      </c>
      <c r="F209" s="330"/>
      <c r="H209" s="331"/>
      <c r="I209" s="332"/>
      <c r="J209" s="332"/>
      <c r="K209" s="333" t="s">
        <v>435</v>
      </c>
      <c r="L209" s="334">
        <f>IF(L204=0,1,L207/L204)</f>
        <v>1</v>
      </c>
      <c r="M209" s="167"/>
      <c r="P209" s="172"/>
    </row>
    <row r="210" spans="2:24" ht="15.75">
      <c r="B210" s="169"/>
      <c r="C210" s="170"/>
      <c r="D210" s="335"/>
      <c r="E210" s="180"/>
      <c r="F210" s="180"/>
      <c r="G210" s="336"/>
      <c r="H210" s="180"/>
      <c r="I210" s="193"/>
      <c r="J210" s="180"/>
      <c r="K210" s="180"/>
      <c r="L210" s="164"/>
      <c r="M210" s="167"/>
    </row>
    <row r="211" spans="2:24" ht="30">
      <c r="B211" s="169">
        <f>B209+1</f>
        <v>119</v>
      </c>
      <c r="C211" s="193"/>
      <c r="D211" s="204" t="s">
        <v>367</v>
      </c>
      <c r="E211" s="189" t="s">
        <v>137</v>
      </c>
      <c r="F211" s="189" t="s">
        <v>476</v>
      </c>
      <c r="G211" s="337" t="s">
        <v>498</v>
      </c>
      <c r="H211" s="271" t="s">
        <v>412</v>
      </c>
      <c r="I211" s="196"/>
      <c r="J211" s="167"/>
      <c r="K211" s="167"/>
      <c r="L211" s="167"/>
      <c r="M211" s="167"/>
    </row>
    <row r="212" spans="2:24">
      <c r="B212" s="169">
        <f t="shared" ref="B212:B217" si="8">+B211+1</f>
        <v>120</v>
      </c>
      <c r="C212" s="193"/>
      <c r="D212" s="231" t="s">
        <v>312</v>
      </c>
      <c r="E212" s="185"/>
      <c r="F212" s="185"/>
      <c r="G212" s="202"/>
      <c r="H212" s="202"/>
      <c r="I212" s="189"/>
      <c r="J212" s="190"/>
      <c r="K212" s="185"/>
      <c r="L212" s="202"/>
      <c r="M212" s="167"/>
    </row>
    <row r="213" spans="2:24">
      <c r="B213" s="169">
        <f t="shared" si="8"/>
        <v>121</v>
      </c>
      <c r="C213" s="193"/>
      <c r="D213" s="239" t="s">
        <v>421</v>
      </c>
      <c r="E213" s="185" t="s">
        <v>341</v>
      </c>
      <c r="F213" s="143">
        <v>0</v>
      </c>
      <c r="G213" s="142">
        <v>14921314.535467383</v>
      </c>
      <c r="H213" s="338">
        <f>+F213+G213</f>
        <v>14921314.535467383</v>
      </c>
      <c r="I213" s="193" t="s">
        <v>414</v>
      </c>
      <c r="J213" s="190">
        <f>L209</f>
        <v>1</v>
      </c>
      <c r="K213" s="339"/>
      <c r="L213" s="256">
        <f>(F213+G213)*J213</f>
        <v>14921314.535467383</v>
      </c>
      <c r="M213" s="167"/>
    </row>
    <row r="214" spans="2:24">
      <c r="B214" s="169">
        <f t="shared" si="8"/>
        <v>122</v>
      </c>
      <c r="C214" s="193"/>
      <c r="D214" s="239" t="s">
        <v>544</v>
      </c>
      <c r="E214" s="167" t="s">
        <v>254</v>
      </c>
      <c r="F214" s="143">
        <v>0</v>
      </c>
      <c r="G214" s="143">
        <v>0</v>
      </c>
      <c r="H214" s="256">
        <f>+F214+G214</f>
        <v>0</v>
      </c>
      <c r="I214" s="196" t="s">
        <v>420</v>
      </c>
      <c r="J214" s="190">
        <v>0</v>
      </c>
      <c r="K214" s="339"/>
      <c r="L214" s="256">
        <f>(F214+G214)*J214</f>
        <v>0</v>
      </c>
      <c r="M214" s="167"/>
    </row>
    <row r="215" spans="2:24">
      <c r="B215" s="169">
        <f t="shared" si="8"/>
        <v>123</v>
      </c>
      <c r="C215" s="193"/>
      <c r="D215" s="231" t="s">
        <v>312</v>
      </c>
      <c r="E215" s="185"/>
      <c r="F215" s="185"/>
      <c r="G215" s="202"/>
      <c r="H215" s="202"/>
      <c r="I215" s="189"/>
      <c r="J215" s="190"/>
      <c r="K215" s="185"/>
      <c r="L215" s="202"/>
      <c r="M215" s="167"/>
    </row>
    <row r="216" spans="2:24" ht="15.75" thickBot="1">
      <c r="B216" s="169">
        <f t="shared" si="8"/>
        <v>124</v>
      </c>
      <c r="C216" s="193"/>
      <c r="D216" s="239" t="s">
        <v>485</v>
      </c>
      <c r="E216" s="167" t="s">
        <v>206</v>
      </c>
      <c r="F216" s="141">
        <v>0</v>
      </c>
      <c r="G216" s="141">
        <v>0</v>
      </c>
      <c r="H216" s="265">
        <f>+F216+G216</f>
        <v>0</v>
      </c>
      <c r="I216" s="196" t="s">
        <v>420</v>
      </c>
      <c r="J216" s="190">
        <v>0</v>
      </c>
      <c r="K216" s="339"/>
      <c r="L216" s="265">
        <f>(F216+G216)*J216</f>
        <v>0</v>
      </c>
      <c r="M216" s="167"/>
    </row>
    <row r="217" spans="2:24" ht="15.75">
      <c r="B217" s="169">
        <f t="shared" si="8"/>
        <v>125</v>
      </c>
      <c r="C217" s="193"/>
      <c r="D217" s="239" t="s">
        <v>412</v>
      </c>
      <c r="E217" s="185" t="str">
        <f>"(sum lns "&amp;B213&amp;", "&amp;B214&amp;", &amp; "&amp;B216&amp;")"</f>
        <v>(sum lns 121, 122, &amp; 124)</v>
      </c>
      <c r="F217" s="256">
        <f>SUM(F212:F216)</f>
        <v>0</v>
      </c>
      <c r="G217" s="185">
        <f>SUM(G212:G216)</f>
        <v>14921314.535467383</v>
      </c>
      <c r="H217" s="185">
        <f>SUM(H212:H216)</f>
        <v>14921314.535467383</v>
      </c>
      <c r="I217" s="196"/>
      <c r="J217" s="167"/>
      <c r="K217" s="167"/>
      <c r="L217" s="256">
        <f>SUM(L212:L216)</f>
        <v>14921314.535467383</v>
      </c>
      <c r="M217" s="222"/>
    </row>
    <row r="218" spans="2:24">
      <c r="B218" s="169"/>
      <c r="C218" s="193"/>
      <c r="D218" s="239" t="s">
        <v>408</v>
      </c>
      <c r="E218" s="185" t="s">
        <v>408</v>
      </c>
      <c r="F218" s="185"/>
      <c r="G218" s="159"/>
      <c r="H218" s="185"/>
      <c r="I218" s="270"/>
    </row>
    <row r="219" spans="2:24" ht="15.75">
      <c r="B219" s="169">
        <f>B217+1</f>
        <v>126</v>
      </c>
      <c r="C219" s="170"/>
      <c r="D219" s="240" t="s">
        <v>368</v>
      </c>
      <c r="E219" s="185"/>
      <c r="F219" s="185"/>
      <c r="G219" s="185"/>
      <c r="H219" s="185"/>
      <c r="I219" s="270"/>
      <c r="K219" s="340" t="s">
        <v>369</v>
      </c>
      <c r="L219" s="341">
        <f>L217/(F217+G217)</f>
        <v>1</v>
      </c>
    </row>
    <row r="220" spans="2:24" ht="15.75">
      <c r="B220" s="169"/>
      <c r="C220" s="170"/>
      <c r="D220" s="240"/>
      <c r="E220" s="185"/>
      <c r="F220" s="185"/>
      <c r="G220" s="185"/>
      <c r="H220" s="185"/>
      <c r="I220" s="270"/>
      <c r="K220" s="340"/>
      <c r="L220" s="341"/>
    </row>
    <row r="221" spans="2:24" ht="15.75">
      <c r="B221" s="169"/>
      <c r="C221" s="170"/>
      <c r="D221" s="342" t="s">
        <v>149</v>
      </c>
      <c r="E221" s="185"/>
      <c r="F221" s="185"/>
      <c r="G221" s="185"/>
      <c r="H221" s="185"/>
      <c r="I221" s="196"/>
      <c r="J221" s="167"/>
      <c r="K221" s="167"/>
      <c r="L221" s="167"/>
      <c r="M221" s="167"/>
    </row>
    <row r="222" spans="2:24" ht="15.75" thickBot="1">
      <c r="B222" s="169">
        <f>B219+1</f>
        <v>127</v>
      </c>
      <c r="C222" s="170"/>
      <c r="D222" s="239" t="s">
        <v>482</v>
      </c>
      <c r="E222" s="185"/>
      <c r="F222" s="185"/>
      <c r="G222" s="185"/>
      <c r="H222" s="185"/>
      <c r="I222" s="185"/>
      <c r="J222" s="185"/>
      <c r="K222" s="185"/>
      <c r="L222" s="343" t="s">
        <v>436</v>
      </c>
      <c r="M222" s="167"/>
    </row>
    <row r="223" spans="2:24" ht="15.75">
      <c r="B223" s="169">
        <f>B222+1</f>
        <v>128</v>
      </c>
      <c r="C223" s="170"/>
      <c r="D223" s="185" t="s">
        <v>502</v>
      </c>
      <c r="E223" s="159" t="str">
        <f>"(Worksheet M, ln."&amp;'WS M - Cost of Capital'!A55&amp;", col."&amp;'WS M - Cost of Capital'!E47&amp;")"</f>
        <v>(Worksheet M, ln.36, col.(d))</v>
      </c>
      <c r="F223" s="185"/>
      <c r="G223" s="185"/>
      <c r="H223" s="185"/>
      <c r="I223" s="185"/>
      <c r="J223" s="276" t="s">
        <v>408</v>
      </c>
      <c r="K223" s="185"/>
      <c r="L223" s="344">
        <f>'WS M - Cost of Capital'!E55</f>
        <v>87076357.439999998</v>
      </c>
      <c r="M223" s="185"/>
      <c r="N223" s="159"/>
      <c r="O223" s="159"/>
      <c r="P223" s="159"/>
      <c r="Q223" s="159"/>
      <c r="R223" s="159"/>
      <c r="S223" s="159"/>
      <c r="T223" s="159"/>
      <c r="U223" s="159"/>
      <c r="V223" s="159"/>
      <c r="W223" s="159"/>
      <c r="X223" s="159"/>
    </row>
    <row r="224" spans="2:24">
      <c r="B224" s="169">
        <f t="shared" ref="B224:B230" si="9">B223+1</f>
        <v>129</v>
      </c>
      <c r="C224" s="170"/>
      <c r="D224" s="185" t="s">
        <v>503</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c r="B225" s="169">
        <f t="shared" si="9"/>
        <v>130</v>
      </c>
      <c r="C225" s="170"/>
      <c r="D225" s="345" t="s">
        <v>27</v>
      </c>
      <c r="E225" s="185"/>
      <c r="F225" s="185"/>
      <c r="G225" s="185"/>
      <c r="H225" s="347"/>
      <c r="I225" s="185"/>
      <c r="J225" s="185"/>
      <c r="K225" s="185"/>
      <c r="L225" s="202"/>
      <c r="M225" s="167"/>
    </row>
    <row r="226" spans="2:13">
      <c r="B226" s="169">
        <f t="shared" si="9"/>
        <v>131</v>
      </c>
      <c r="C226" s="170"/>
      <c r="D226" s="185" t="s">
        <v>28</v>
      </c>
      <c r="E226" s="159" t="str">
        <f>"(Worksheet M, ln. "&amp;'WS M - Cost of Capital'!A23&amp;", col."&amp;'WS M - Cost of Capital'!C8&amp;")"</f>
        <v>(Worksheet M, ln. 14, col.(b))</v>
      </c>
      <c r="F226" s="185"/>
      <c r="G226" s="180"/>
      <c r="H226" s="347"/>
      <c r="I226" s="185"/>
      <c r="J226" s="185"/>
      <c r="K226" s="185"/>
      <c r="L226" s="202">
        <f>'WS M - Cost of Capital'!C23</f>
        <v>2576053718.9481535</v>
      </c>
      <c r="M226" s="167"/>
    </row>
    <row r="227" spans="2:13">
      <c r="B227" s="169">
        <f t="shared" si="9"/>
        <v>132</v>
      </c>
      <c r="C227" s="170"/>
      <c r="D227" s="185" t="s">
        <v>163</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c r="B228" s="169">
        <f t="shared" si="9"/>
        <v>133</v>
      </c>
      <c r="C228" s="170"/>
      <c r="D228" s="185" t="s">
        <v>156</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c r="B229" s="169">
        <f t="shared" si="9"/>
        <v>134</v>
      </c>
      <c r="C229" s="170"/>
      <c r="D229" s="185" t="s">
        <v>162</v>
      </c>
      <c r="E229" s="159" t="str">
        <f>"(Worksheet M, ln. "&amp;'WS M - Cost of Capital'!A23&amp;", col."&amp;'WS M - Cost of Capital'!F8&amp;")"</f>
        <v>(Worksheet M, ln. 14, col.(e))</v>
      </c>
      <c r="F229" s="185"/>
      <c r="G229" s="185"/>
      <c r="H229" s="347"/>
      <c r="I229" s="185"/>
      <c r="J229" s="185"/>
      <c r="K229" s="185"/>
      <c r="L229" s="1219">
        <f>'WS M - Cost of Capital'!F23</f>
        <v>0</v>
      </c>
      <c r="M229" s="167"/>
    </row>
    <row r="230" spans="2:13">
      <c r="B230" s="169">
        <f t="shared" si="9"/>
        <v>135</v>
      </c>
      <c r="C230" s="170"/>
      <c r="D230" s="154" t="s">
        <v>29</v>
      </c>
      <c r="E230" s="346" t="str">
        <f>"(ln "&amp;B226&amp;" - ln "&amp;B227&amp;" - ln "&amp;B228&amp;" - ln "&amp;B229&amp;")"</f>
        <v>(ln 131 - ln 132 - ln 133 - ln 134)</v>
      </c>
      <c r="F230" s="348"/>
      <c r="G230" s="159"/>
      <c r="H230" s="180"/>
      <c r="I230" s="180"/>
      <c r="J230" s="180"/>
      <c r="K230" s="180"/>
      <c r="L230" s="202">
        <f>L226-L227-L228-L229</f>
        <v>2576053718.9481535</v>
      </c>
      <c r="M230" s="167"/>
    </row>
    <row r="231" spans="2:13" ht="15.75">
      <c r="B231" s="169"/>
      <c r="C231" s="170"/>
      <c r="D231" s="239"/>
      <c r="E231" s="185"/>
      <c r="F231" s="185"/>
      <c r="G231" s="1459" t="s">
        <v>264</v>
      </c>
      <c r="H231" s="1459"/>
      <c r="I231" s="185"/>
      <c r="J231" s="270" t="s">
        <v>437</v>
      </c>
      <c r="K231" s="185"/>
      <c r="L231" s="185"/>
      <c r="M231" s="167"/>
    </row>
    <row r="232" spans="2:13" ht="15.75" thickBot="1">
      <c r="B232" s="169"/>
      <c r="C232" s="170"/>
      <c r="D232" s="239"/>
      <c r="E232" s="159"/>
      <c r="F232" s="185"/>
      <c r="G232" s="349" t="s">
        <v>436</v>
      </c>
      <c r="H232" s="349" t="s">
        <v>438</v>
      </c>
      <c r="I232" s="343" t="s">
        <v>842</v>
      </c>
      <c r="J232" s="350" t="s">
        <v>546</v>
      </c>
      <c r="K232" s="185"/>
      <c r="L232" s="349" t="s">
        <v>439</v>
      </c>
      <c r="M232" s="167"/>
    </row>
    <row r="233" spans="2:13" ht="15.75">
      <c r="B233" s="169">
        <f>B230+1</f>
        <v>136</v>
      </c>
      <c r="C233" s="170"/>
      <c r="D233" s="239" t="str">
        <f>"  Long Term Debt  (Note S) Worksheet M, ln "&amp;'WS M - Cost of Capital'!A42&amp;", col. (g), ln "&amp;'WS M - Cost of Capital'!A57&amp;", col. "&amp;'WS M - Cost of Capital'!E47&amp;")"</f>
        <v xml:space="preserve">  Long Term Debt  (Note S) Worksheet M, ln 28, col. (g), ln 37, col. (d))</v>
      </c>
      <c r="E233" s="159"/>
      <c r="F233" s="276" t="s">
        <v>408</v>
      </c>
      <c r="G233" s="202">
        <f>'WS M - Cost of Capital'!H42</f>
        <v>2129376923.0769231</v>
      </c>
      <c r="H233" s="351">
        <f>IF($G$236=0,0,G233/$G$236)</f>
        <v>0.45253603444051677</v>
      </c>
      <c r="I233" s="1319">
        <f>IF(H235&gt;E238,1-I235,H233)</f>
        <v>0.45253603444051677</v>
      </c>
      <c r="J233" s="351">
        <f>IF(G233=0,0,L223/G233)</f>
        <v>4.0892881150499064E-2</v>
      </c>
      <c r="K233" s="159"/>
      <c r="L233" s="352">
        <f>IF(H235&gt;I235,I233*J233,H233*J233)</f>
        <v>1.8505502272694204E-2</v>
      </c>
      <c r="M233" s="167"/>
    </row>
    <row r="234" spans="2:13">
      <c r="B234" s="169">
        <f>B233+1</f>
        <v>137</v>
      </c>
      <c r="C234" s="170"/>
      <c r="D234" s="239" t="str">
        <f>"  Preferred Stock (ln "&amp;B227&amp;")"</f>
        <v xml:space="preserve">  Preferred Stock (ln 132)</v>
      </c>
      <c r="E234" s="159"/>
      <c r="F234" s="159"/>
      <c r="G234" s="202">
        <f>L227</f>
        <v>0</v>
      </c>
      <c r="H234" s="351">
        <f>IF($G$236=0,0,G234/$G$236)</f>
        <v>0</v>
      </c>
      <c r="I234" s="1319">
        <f>H234</f>
        <v>0</v>
      </c>
      <c r="J234" s="351">
        <f>IF(G234=0,0,L224/G234)</f>
        <v>0</v>
      </c>
      <c r="K234" s="159"/>
      <c r="L234" s="353">
        <f>H234*J234</f>
        <v>0</v>
      </c>
      <c r="M234" s="167"/>
    </row>
    <row r="235" spans="2:13" ht="15.75" thickBot="1">
      <c r="B235" s="169">
        <f>B234+1</f>
        <v>138</v>
      </c>
      <c r="C235" s="170"/>
      <c r="D235" s="239" t="str">
        <f>"  Common Stock (ln "&amp;B230&amp;")"</f>
        <v xml:space="preserve">  Common Stock (ln 135)</v>
      </c>
      <c r="E235" s="159"/>
      <c r="F235" s="159"/>
      <c r="G235" s="241">
        <f>L230</f>
        <v>2576053718.9481535</v>
      </c>
      <c r="H235" s="354">
        <f>IF($G$236=0,0,G235/$G$236)</f>
        <v>0.54746396555948318</v>
      </c>
      <c r="I235" s="1319">
        <f>IF(H235&gt;E238,E238,H235)</f>
        <v>0.54746396555948318</v>
      </c>
      <c r="J235" s="419">
        <v>9.8500000000000004E-2</v>
      </c>
      <c r="K235" s="159"/>
      <c r="L235" s="355">
        <f>IF(H235&gt;E238,E238*J235,H235*J235)</f>
        <v>5.3925200607609095E-2</v>
      </c>
      <c r="M235" s="167"/>
    </row>
    <row r="236" spans="2:13" ht="15.75">
      <c r="B236" s="169">
        <f>B235+1</f>
        <v>139</v>
      </c>
      <c r="C236" s="170"/>
      <c r="D236" s="239" t="str">
        <f>" Total (Sum lns "&amp;B233&amp;" to "&amp;B235&amp;")"</f>
        <v xml:space="preserve"> Total (Sum lns 136 to 138)</v>
      </c>
      <c r="E236" s="159"/>
      <c r="F236" s="159"/>
      <c r="G236" s="202">
        <f>SUM(G233:G235)</f>
        <v>4705430642.0250769</v>
      </c>
      <c r="H236" s="209">
        <f>SUM(H233:H235)</f>
        <v>1</v>
      </c>
      <c r="I236" s="185"/>
      <c r="J236" s="356"/>
      <c r="K236" s="258" t="s">
        <v>354</v>
      </c>
      <c r="L236" s="357">
        <f>SUM(L233:L235)</f>
        <v>7.2430702880303302E-2</v>
      </c>
      <c r="M236" s="167"/>
    </row>
    <row r="237" spans="2:13" ht="15.75">
      <c r="B237" s="169"/>
      <c r="C237" s="170"/>
      <c r="D237" s="239"/>
      <c r="E237" s="159"/>
      <c r="F237" s="159"/>
      <c r="G237" s="202"/>
      <c r="H237" s="209"/>
      <c r="I237" s="185"/>
      <c r="J237" s="356"/>
      <c r="K237" s="258"/>
      <c r="L237" s="357"/>
      <c r="M237" s="167"/>
    </row>
    <row r="238" spans="2:13">
      <c r="B238" s="169">
        <v>140</v>
      </c>
      <c r="C238" s="170"/>
      <c r="D238" s="239" t="s">
        <v>839</v>
      </c>
      <c r="E238" s="1319">
        <v>0.55000000000000004</v>
      </c>
      <c r="F238" s="185"/>
      <c r="G238" s="185"/>
      <c r="H238" s="185"/>
      <c r="I238" s="196"/>
      <c r="J238" s="167"/>
      <c r="K238" s="167"/>
      <c r="L238" s="167"/>
      <c r="M238" s="167"/>
    </row>
    <row r="239" spans="2:13" ht="15.75" hidden="1">
      <c r="B239" s="358"/>
      <c r="C239" s="359"/>
      <c r="D239" s="360" t="s">
        <v>215</v>
      </c>
      <c r="E239" s="361"/>
      <c r="F239" s="362"/>
      <c r="G239" s="363"/>
      <c r="H239" s="362"/>
      <c r="I239" s="362"/>
      <c r="J239" s="362"/>
      <c r="K239" s="364"/>
      <c r="L239" s="365"/>
      <c r="M239" s="167"/>
    </row>
    <row r="240" spans="2:13" ht="15.75" hidden="1" thickBot="1">
      <c r="B240" s="358">
        <f>B236+1</f>
        <v>140</v>
      </c>
      <c r="C240" s="359"/>
      <c r="D240" s="366" t="s">
        <v>482</v>
      </c>
      <c r="E240" s="362"/>
      <c r="F240" s="362"/>
      <c r="G240" s="362"/>
      <c r="H240" s="362"/>
      <c r="I240" s="362"/>
      <c r="J240" s="362"/>
      <c r="K240" s="362"/>
      <c r="L240" s="367" t="s">
        <v>436</v>
      </c>
      <c r="M240" s="167"/>
    </row>
    <row r="241" spans="2:21" hidden="1">
      <c r="B241" s="358">
        <f t="shared" ref="B241:B248" si="10">+B240+1</f>
        <v>141</v>
      </c>
      <c r="C241" s="359"/>
      <c r="D241" s="362" t="s">
        <v>502</v>
      </c>
      <c r="E241" s="363" t="str">
        <f>"(Worksheet Q, ln. "&amp;'WS Q Cap Structure'!A199&amp;")"</f>
        <v>(Worksheet Q, ln. 132)</v>
      </c>
      <c r="F241" s="362"/>
      <c r="G241" s="362"/>
      <c r="H241" s="362"/>
      <c r="I241" s="362"/>
      <c r="J241" s="362"/>
      <c r="K241" s="362"/>
      <c r="L241" s="368">
        <f>'WS Q Cap Structure'!J199</f>
        <v>0</v>
      </c>
      <c r="M241" s="167"/>
    </row>
    <row r="242" spans="2:21" hidden="1">
      <c r="B242" s="358">
        <f t="shared" si="10"/>
        <v>142</v>
      </c>
      <c r="C242" s="359"/>
      <c r="D242" s="362" t="s">
        <v>503</v>
      </c>
      <c r="E242" s="363" t="str">
        <f>"(Worksheet Q, ln. "&amp;'WS Q Cap Structure'!A203&amp;")"</f>
        <v>(Worksheet Q, ln. 134)</v>
      </c>
      <c r="F242" s="362"/>
      <c r="G242" s="362"/>
      <c r="H242" s="362"/>
      <c r="I242" s="362"/>
      <c r="J242" s="362"/>
      <c r="K242" s="362"/>
      <c r="L242" s="368">
        <f>'WS Q Cap Structure'!J203</f>
        <v>0</v>
      </c>
      <c r="M242" s="167"/>
    </row>
    <row r="243" spans="2:21" hidden="1">
      <c r="B243" s="358">
        <f t="shared" si="10"/>
        <v>143</v>
      </c>
      <c r="C243" s="359"/>
      <c r="D243" s="369" t="s">
        <v>27</v>
      </c>
      <c r="E243" s="362"/>
      <c r="F243" s="362"/>
      <c r="G243" s="362"/>
      <c r="H243" s="370"/>
      <c r="I243" s="362"/>
      <c r="J243" s="362"/>
      <c r="K243" s="362"/>
      <c r="L243" s="368"/>
      <c r="M243" s="167"/>
    </row>
    <row r="244" spans="2:21" hidden="1">
      <c r="B244" s="358">
        <f t="shared" si="10"/>
        <v>144</v>
      </c>
      <c r="C244" s="359"/>
      <c r="D244" s="362" t="s">
        <v>28</v>
      </c>
      <c r="E244" s="363" t="str">
        <f>"(Worksheet Q, ln. "&amp;'WS Q Cap Structure'!A206&amp;")"</f>
        <v>(Worksheet Q, ln. 135)</v>
      </c>
      <c r="F244" s="362"/>
      <c r="G244" s="371"/>
      <c r="H244" s="372"/>
      <c r="I244" s="362"/>
      <c r="J244" s="362"/>
      <c r="K244" s="362"/>
      <c r="L244" s="373" t="e">
        <f>'WS Q Cap Structure'!J206</f>
        <v>#DIV/0!</v>
      </c>
      <c r="M244" s="167"/>
    </row>
    <row r="245" spans="2:21" hidden="1">
      <c r="B245" s="358">
        <f t="shared" si="10"/>
        <v>145</v>
      </c>
      <c r="C245" s="359"/>
      <c r="D245" s="362" t="s">
        <v>163</v>
      </c>
      <c r="E245" s="363" t="str">
        <f>"(Worksheet Q, ln. "&amp;'WS Q Cap Structure'!A207&amp;")"</f>
        <v>(Worksheet Q, ln. 136)</v>
      </c>
      <c r="F245" s="362"/>
      <c r="G245" s="362"/>
      <c r="H245" s="372"/>
      <c r="I245" s="362"/>
      <c r="J245" s="362"/>
      <c r="K245" s="362"/>
      <c r="L245" s="373">
        <f>'WS Q Cap Structure'!J207</f>
        <v>0</v>
      </c>
      <c r="M245" s="167"/>
    </row>
    <row r="246" spans="2:21" hidden="1">
      <c r="B246" s="358">
        <f>+B245+1</f>
        <v>146</v>
      </c>
      <c r="C246" s="359"/>
      <c r="D246" s="362" t="s">
        <v>156</v>
      </c>
      <c r="E246" s="363" t="str">
        <f>"(Worksheet Q, ln. "&amp;'WS Q Cap Structure'!A208&amp;")"</f>
        <v>(Worksheet Q, ln. 137)</v>
      </c>
      <c r="F246" s="362"/>
      <c r="G246" s="362"/>
      <c r="H246" s="372"/>
      <c r="I246" s="362"/>
      <c r="J246" s="362"/>
      <c r="K246" s="362"/>
      <c r="L246" s="373" t="e">
        <f>'WS Q Cap Structure'!J208</f>
        <v>#DIV/0!</v>
      </c>
      <c r="M246" s="167"/>
    </row>
    <row r="247" spans="2:21" ht="15.75" hidden="1" thickBot="1">
      <c r="B247" s="358">
        <f t="shared" si="10"/>
        <v>147</v>
      </c>
      <c r="C247" s="359"/>
      <c r="D247" s="362" t="s">
        <v>162</v>
      </c>
      <c r="E247" s="363" t="str">
        <f>"(Worksheet Q, ln. "&amp;'WS Q Cap Structure'!A209&amp;")"</f>
        <v>(Worksheet Q, ln. 138)</v>
      </c>
      <c r="F247" s="362"/>
      <c r="G247" s="362"/>
      <c r="H247" s="372"/>
      <c r="I247" s="362"/>
      <c r="J247" s="374"/>
      <c r="K247" s="362"/>
      <c r="L247" s="375" t="e">
        <f>'WS Q Cap Structure'!J209</f>
        <v>#DIV/0!</v>
      </c>
      <c r="M247" s="167"/>
    </row>
    <row r="248" spans="2:21" hidden="1">
      <c r="B248" s="358">
        <f t="shared" si="10"/>
        <v>148</v>
      </c>
      <c r="C248" s="359"/>
      <c r="D248" s="363" t="s">
        <v>29</v>
      </c>
      <c r="E248" s="362" t="str">
        <f>"(ln "&amp;B244&amp;" - ln "&amp;B245&amp;" - ln "&amp;B246&amp;" - ln "&amp;B247&amp;")"</f>
        <v>(ln 144 - ln 145 - ln 146 - ln 147)</v>
      </c>
      <c r="F248" s="376"/>
      <c r="G248" s="363"/>
      <c r="H248" s="371"/>
      <c r="I248" s="371"/>
      <c r="J248" s="371"/>
      <c r="K248" s="371"/>
      <c r="L248" s="368" t="e">
        <f>+L244-L245-L246-L247</f>
        <v>#DIV/0!</v>
      </c>
      <c r="M248" s="167"/>
    </row>
    <row r="249" spans="2:21" ht="15.75" hidden="1">
      <c r="B249" s="358"/>
      <c r="C249" s="359"/>
      <c r="D249" s="366"/>
      <c r="E249" s="362"/>
      <c r="F249" s="362"/>
      <c r="G249" s="1458"/>
      <c r="H249" s="1458"/>
      <c r="I249" s="377"/>
      <c r="J249" s="363"/>
      <c r="K249" s="362"/>
      <c r="L249" s="362"/>
      <c r="M249" s="167"/>
    </row>
    <row r="250" spans="2:21" ht="15.75" hidden="1" thickBot="1">
      <c r="B250" s="358">
        <f>+B248+1</f>
        <v>149</v>
      </c>
      <c r="C250" s="359"/>
      <c r="D250" s="366"/>
      <c r="E250" s="363"/>
      <c r="F250" s="363"/>
      <c r="G250" s="378" t="s">
        <v>438</v>
      </c>
      <c r="H250" s="378" t="s">
        <v>436</v>
      </c>
      <c r="I250" s="377"/>
      <c r="J250" s="379" t="s">
        <v>437</v>
      </c>
      <c r="K250" s="362"/>
      <c r="L250" s="378" t="s">
        <v>439</v>
      </c>
      <c r="M250" s="167"/>
      <c r="N250" s="161"/>
      <c r="O250" s="161"/>
      <c r="P250" s="161"/>
      <c r="Q250" s="161"/>
      <c r="R250" s="161"/>
      <c r="S250" s="161"/>
      <c r="T250" s="161"/>
      <c r="U250" s="161"/>
    </row>
    <row r="251" spans="2:21" hidden="1">
      <c r="B251" s="358">
        <f>+B250+1</f>
        <v>150</v>
      </c>
      <c r="C251" s="359"/>
      <c r="D251" s="366" t="str">
        <f>"  Long Term Debt   (Worksheet Q, ln "&amp;'WS Q Cap Structure'!A213&amp;")"</f>
        <v xml:space="preserve">  Long Term Debt   (Worksheet Q, ln 140)</v>
      </c>
      <c r="E251" s="363"/>
      <c r="F251" s="363"/>
      <c r="G251" s="380" t="e">
        <f>'WS Q Cap Structure'!J218</f>
        <v>#DIV/0!</v>
      </c>
      <c r="H251" s="368" t="e">
        <f>$H$254*G251</f>
        <v>#DIV/0!</v>
      </c>
      <c r="I251" s="381"/>
      <c r="J251" s="374" t="e">
        <f>+L241/H251</f>
        <v>#DIV/0!</v>
      </c>
      <c r="K251" s="363"/>
      <c r="L251" s="382" t="e">
        <f>+G251*J251</f>
        <v>#DIV/0!</v>
      </c>
      <c r="M251" s="383"/>
      <c r="N251" s="161"/>
      <c r="O251" s="161"/>
      <c r="P251" s="161"/>
      <c r="Q251" s="161"/>
      <c r="R251" s="161"/>
      <c r="S251" s="161"/>
      <c r="T251" s="161"/>
      <c r="U251" s="161"/>
    </row>
    <row r="252" spans="2:21" hidden="1">
      <c r="B252" s="358">
        <f>+B251+1</f>
        <v>151</v>
      </c>
      <c r="C252" s="359"/>
      <c r="D252" s="366" t="str">
        <f>"  Preferred Stock (Worksheet Q, ln "&amp;'WS Q Cap Structure'!A214&amp;")"</f>
        <v xml:space="preserve">  Preferred Stock (Worksheet Q, ln 141)</v>
      </c>
      <c r="E252" s="363"/>
      <c r="F252" s="363"/>
      <c r="G252" s="380" t="e">
        <f>'WS Q Cap Structure'!J219</f>
        <v>#DIV/0!</v>
      </c>
      <c r="H252" s="368" t="e">
        <f>$H$254*G252</f>
        <v>#DIV/0!</v>
      </c>
      <c r="I252" s="381"/>
      <c r="J252" s="374">
        <f>IF(L242=0,0,+L242/H252)</f>
        <v>0</v>
      </c>
      <c r="K252" s="363"/>
      <c r="L252" s="384" t="e">
        <f>+G252*J252</f>
        <v>#DIV/0!</v>
      </c>
      <c r="M252" s="167"/>
    </row>
    <row r="253" spans="2:21" ht="15.75" hidden="1" thickBot="1">
      <c r="B253" s="358">
        <f>+B252+1</f>
        <v>152</v>
      </c>
      <c r="C253" s="359"/>
      <c r="D253" s="366" t="str">
        <f>"  Common Stock (Worksheet Q, ln "&amp;'WS Q Cap Structure'!A215&amp;")"</f>
        <v xml:space="preserve">  Common Stock (Worksheet Q, ln 142)</v>
      </c>
      <c r="E253" s="363"/>
      <c r="F253" s="363"/>
      <c r="G253" s="385" t="e">
        <f>'WS Q Cap Structure'!J220</f>
        <v>#DIV/0!</v>
      </c>
      <c r="H253" s="386" t="e">
        <f>$H$254*G253</f>
        <v>#DIV/0!</v>
      </c>
      <c r="I253" s="381"/>
      <c r="J253" s="151">
        <v>0.1149</v>
      </c>
      <c r="K253" s="363"/>
      <c r="L253" s="387" t="e">
        <f>+G253*J253</f>
        <v>#DIV/0!</v>
      </c>
      <c r="M253" s="167"/>
    </row>
    <row r="254" spans="2:21" ht="15.75" hidden="1">
      <c r="B254" s="358">
        <f>+B253+1</f>
        <v>153</v>
      </c>
      <c r="C254" s="359"/>
      <c r="D254" s="366" t="str">
        <f>" Total (Worksheet Q, ln "&amp;'WS Q Cap Structure'!A216&amp;")"</f>
        <v xml:space="preserve"> Total (Worksheet Q, ln 143)</v>
      </c>
      <c r="E254" s="363"/>
      <c r="F254" s="363"/>
      <c r="G254" s="363"/>
      <c r="H254" s="368" t="e">
        <f>'WS Q Cap Structure'!J216</f>
        <v>#DIV/0!</v>
      </c>
      <c r="I254" s="377"/>
      <c r="J254" s="388"/>
      <c r="K254" s="389" t="s">
        <v>354</v>
      </c>
      <c r="L254" s="390" t="e">
        <f>SUM(L251:L253)</f>
        <v>#DIV/0!</v>
      </c>
      <c r="M254" s="391"/>
    </row>
    <row r="255" spans="2:21">
      <c r="B255" s="169"/>
      <c r="C255" s="208"/>
      <c r="D255" s="313"/>
      <c r="E255" s="262"/>
      <c r="F255" s="392"/>
      <c r="G255" s="392"/>
      <c r="H255" s="392"/>
      <c r="I255" s="392"/>
      <c r="J255" s="393"/>
      <c r="K255" s="393"/>
      <c r="L255" s="393"/>
      <c r="M255" s="394"/>
      <c r="N255" s="180"/>
      <c r="O255" s="180"/>
      <c r="P255" s="180"/>
      <c r="Q255" s="180"/>
      <c r="R255" s="180"/>
      <c r="S255" s="180"/>
      <c r="T255" s="180"/>
      <c r="U255" s="180"/>
    </row>
    <row r="256" spans="2:21">
      <c r="B256" s="169"/>
      <c r="C256" s="208"/>
      <c r="D256" s="208"/>
      <c r="E256" s="172"/>
      <c r="F256" s="172"/>
      <c r="G256" s="172"/>
      <c r="H256" s="172"/>
      <c r="I256" s="172"/>
      <c r="J256" s="167"/>
      <c r="K256" s="164"/>
      <c r="L256" s="167"/>
      <c r="M256" s="164"/>
      <c r="N256" s="180"/>
      <c r="O256" s="180"/>
      <c r="P256" s="180"/>
      <c r="Q256" s="180"/>
      <c r="R256" s="180"/>
      <c r="S256" s="180"/>
      <c r="T256" s="180"/>
      <c r="U256" s="180"/>
    </row>
    <row r="257" spans="2:21" ht="15.75">
      <c r="B257" s="268"/>
      <c r="C257" s="170"/>
      <c r="D257" s="156"/>
      <c r="E257" s="156"/>
      <c r="F257" s="270" t="str">
        <f>F194</f>
        <v>AEPTCo subsidiaries in PJM</v>
      </c>
      <c r="G257" s="157"/>
      <c r="H257" s="167"/>
      <c r="I257" s="167"/>
      <c r="J257" s="167"/>
      <c r="K257" s="164"/>
      <c r="L257" s="167"/>
      <c r="M257" s="218"/>
      <c r="N257" s="180"/>
      <c r="O257" s="180"/>
      <c r="P257" s="180"/>
      <c r="Q257" s="180"/>
      <c r="R257" s="180"/>
      <c r="S257" s="180"/>
      <c r="T257" s="180"/>
      <c r="U257" s="180"/>
    </row>
    <row r="258" spans="2:21">
      <c r="B258" s="268"/>
      <c r="C258" s="170"/>
      <c r="D258" s="395"/>
      <c r="E258" s="170"/>
      <c r="F258" s="270" t="str">
        <f>F195</f>
        <v>Transmission Cost of Service Formula Rate</v>
      </c>
      <c r="G258" s="167"/>
      <c r="H258" s="167"/>
      <c r="I258" s="167"/>
      <c r="J258" s="167"/>
      <c r="K258" s="164"/>
      <c r="L258" s="183"/>
      <c r="M258" s="396"/>
      <c r="N258" s="180"/>
      <c r="O258" s="180"/>
      <c r="P258" s="180"/>
      <c r="Q258" s="180"/>
      <c r="R258" s="180"/>
      <c r="S258" s="180"/>
      <c r="T258" s="180"/>
      <c r="U258" s="180"/>
    </row>
    <row r="259" spans="2:21" ht="15.75">
      <c r="B259" s="268"/>
      <c r="C259" s="170"/>
      <c r="D259" s="395"/>
      <c r="E259" s="273"/>
      <c r="F259" s="270" t="str">
        <f>F196</f>
        <v>Utilizing  Actual/Projected FERC Form 1 Data</v>
      </c>
      <c r="G259" s="167"/>
      <c r="H259" s="167"/>
      <c r="I259" s="167"/>
      <c r="J259" s="167"/>
      <c r="K259" s="164"/>
      <c r="L259" s="183"/>
      <c r="M259" s="218"/>
      <c r="N259" s="180"/>
      <c r="O259" s="180"/>
      <c r="P259" s="180"/>
      <c r="Q259" s="180"/>
      <c r="R259" s="180"/>
      <c r="S259" s="180"/>
      <c r="T259" s="180"/>
      <c r="U259" s="180"/>
    </row>
    <row r="260" spans="2:21" ht="15.75">
      <c r="B260" s="169"/>
      <c r="C260" s="170"/>
      <c r="D260" s="395"/>
      <c r="E260" s="273"/>
      <c r="F260" s="270"/>
      <c r="G260" s="167"/>
      <c r="H260" s="167"/>
      <c r="I260" s="167"/>
      <c r="J260" s="167"/>
      <c r="K260" s="164"/>
      <c r="L260" s="183"/>
      <c r="M260" s="159"/>
      <c r="N260" s="180"/>
      <c r="O260" s="180"/>
      <c r="P260" s="180"/>
      <c r="Q260" s="180"/>
      <c r="R260" s="180"/>
      <c r="S260" s="180"/>
      <c r="T260" s="180"/>
      <c r="U260" s="180"/>
    </row>
    <row r="261" spans="2:21" ht="15.75">
      <c r="B261" s="169"/>
      <c r="C261" s="170"/>
      <c r="D261" s="395"/>
      <c r="E261" s="273"/>
      <c r="F261" s="270" t="str">
        <f>F198</f>
        <v>AEP Ohio Transmission Company</v>
      </c>
      <c r="G261" s="167"/>
      <c r="H261" s="167"/>
      <c r="I261" s="167"/>
      <c r="J261" s="167"/>
      <c r="K261" s="164"/>
      <c r="L261" s="183"/>
      <c r="M261" s="159"/>
      <c r="N261" s="180"/>
      <c r="O261" s="180"/>
      <c r="P261" s="180"/>
      <c r="Q261" s="180"/>
      <c r="R261" s="180"/>
      <c r="S261" s="180"/>
      <c r="T261" s="180"/>
      <c r="U261" s="180"/>
    </row>
    <row r="262" spans="2:21" ht="15.75">
      <c r="B262" s="169"/>
      <c r="C262" s="170"/>
      <c r="D262" s="395"/>
      <c r="E262" s="273"/>
      <c r="F262" s="270"/>
      <c r="G262" s="167"/>
      <c r="H262" s="167"/>
      <c r="I262" s="167"/>
      <c r="J262" s="167"/>
      <c r="K262" s="164"/>
      <c r="L262" s="183"/>
      <c r="M262" s="159"/>
      <c r="N262" s="180"/>
      <c r="O262" s="180"/>
      <c r="P262" s="180"/>
      <c r="Q262" s="180"/>
      <c r="R262" s="180"/>
      <c r="S262" s="180"/>
      <c r="T262" s="180"/>
      <c r="U262" s="180"/>
    </row>
    <row r="263" spans="2:21" ht="15.75">
      <c r="B263" s="397" t="s">
        <v>468</v>
      </c>
      <c r="C263" s="177"/>
      <c r="D263" s="204"/>
      <c r="E263" s="180"/>
      <c r="F263" s="397" t="s">
        <v>467</v>
      </c>
      <c r="G263" s="185"/>
      <c r="H263" s="185"/>
      <c r="I263" s="185"/>
      <c r="J263" s="185" t="s">
        <v>619</v>
      </c>
      <c r="K263" s="180"/>
      <c r="L263" s="185"/>
      <c r="M263" s="159"/>
      <c r="N263" s="180"/>
      <c r="O263" s="180"/>
      <c r="P263" s="180"/>
      <c r="Q263" s="180"/>
      <c r="R263" s="180"/>
      <c r="S263" s="180"/>
      <c r="T263" s="180"/>
      <c r="U263" s="180"/>
    </row>
    <row r="264" spans="2:21">
      <c r="C264" s="177"/>
      <c r="L264" s="183"/>
      <c r="M264" s="159"/>
      <c r="N264" s="180"/>
      <c r="O264" s="180"/>
      <c r="P264" s="180"/>
      <c r="Q264" s="180"/>
      <c r="R264" s="180"/>
      <c r="S264" s="180"/>
      <c r="T264" s="180"/>
      <c r="U264" s="180"/>
    </row>
    <row r="265" spans="2:21">
      <c r="B265" s="169"/>
      <c r="C265" s="170"/>
      <c r="D265" s="161" t="s">
        <v>324</v>
      </c>
      <c r="E265" s="193"/>
      <c r="F265" s="193"/>
      <c r="G265" s="185"/>
      <c r="H265" s="185"/>
      <c r="I265" s="185"/>
      <c r="J265" s="185"/>
      <c r="K265" s="180"/>
      <c r="L265" s="185"/>
      <c r="M265" s="180"/>
      <c r="N265" s="180"/>
      <c r="O265" s="180"/>
      <c r="P265" s="180"/>
      <c r="Q265" s="180"/>
      <c r="R265" s="180"/>
      <c r="S265" s="180"/>
      <c r="T265" s="180"/>
      <c r="U265" s="180"/>
    </row>
    <row r="266" spans="2:21">
      <c r="B266" s="154"/>
      <c r="D266" s="204"/>
      <c r="E266" s="180"/>
      <c r="F266" s="180"/>
      <c r="G266" s="185"/>
      <c r="H266" s="185"/>
      <c r="I266" s="185"/>
      <c r="J266" s="185"/>
      <c r="K266" s="180"/>
      <c r="L266" s="185"/>
      <c r="M266" s="180"/>
      <c r="N266" s="180"/>
      <c r="O266" s="180"/>
      <c r="P266" s="180"/>
      <c r="Q266" s="180"/>
      <c r="R266" s="180"/>
      <c r="S266" s="180"/>
      <c r="T266" s="180"/>
      <c r="U266" s="180"/>
    </row>
    <row r="267" spans="2:21">
      <c r="B267" s="154"/>
      <c r="D267" s="204"/>
      <c r="E267" s="180"/>
      <c r="F267" s="180"/>
      <c r="G267" s="185"/>
      <c r="H267" s="185"/>
      <c r="I267" s="185"/>
      <c r="J267" s="185"/>
      <c r="K267" s="180"/>
      <c r="L267" s="185"/>
      <c r="M267" s="180"/>
      <c r="N267" s="180"/>
      <c r="O267" s="180"/>
      <c r="P267" s="180"/>
      <c r="Q267" s="180"/>
      <c r="R267" s="180"/>
      <c r="S267" s="180"/>
      <c r="T267" s="180"/>
      <c r="U267" s="180"/>
    </row>
    <row r="268" spans="2:21">
      <c r="B268" s="398" t="s">
        <v>440</v>
      </c>
      <c r="C268" s="177"/>
      <c r="D268" s="204" t="s">
        <v>266</v>
      </c>
      <c r="E268" s="180"/>
      <c r="F268" s="180"/>
      <c r="G268" s="185"/>
      <c r="H268" s="185"/>
      <c r="I268" s="185"/>
      <c r="J268" s="185"/>
      <c r="K268" s="180"/>
      <c r="L268" s="185"/>
      <c r="M268" s="180"/>
      <c r="N268" s="180"/>
      <c r="O268" s="180"/>
      <c r="P268" s="180"/>
      <c r="Q268" s="180"/>
      <c r="R268" s="180"/>
      <c r="S268" s="180"/>
      <c r="T268" s="180"/>
      <c r="U268" s="180"/>
    </row>
    <row r="269" spans="2:21">
      <c r="B269" s="398"/>
      <c r="C269" s="271"/>
      <c r="D269" s="204" t="s">
        <v>164</v>
      </c>
      <c r="E269" s="180"/>
      <c r="F269" s="180"/>
      <c r="G269" s="180"/>
      <c r="H269" s="180"/>
      <c r="I269" s="180"/>
      <c r="J269" s="180"/>
      <c r="K269" s="180"/>
      <c r="L269" s="180"/>
      <c r="M269" s="180"/>
      <c r="N269" s="180"/>
      <c r="O269" s="180"/>
      <c r="P269" s="180"/>
      <c r="Q269" s="180"/>
      <c r="R269" s="180"/>
      <c r="S269" s="180"/>
      <c r="T269" s="180"/>
      <c r="U269" s="180"/>
    </row>
    <row r="270" spans="2:21">
      <c r="B270" s="399"/>
      <c r="C270" s="159"/>
      <c r="D270" s="154" t="s">
        <v>165</v>
      </c>
      <c r="E270" s="400"/>
      <c r="F270" s="400"/>
      <c r="G270" s="180"/>
      <c r="H270" s="180"/>
      <c r="I270" s="180"/>
      <c r="J270" s="180"/>
      <c r="K270" s="180"/>
      <c r="L270" s="180"/>
      <c r="M270" s="180"/>
      <c r="N270" s="180"/>
      <c r="O270" s="180"/>
      <c r="P270" s="180"/>
      <c r="Q270" s="180"/>
      <c r="R270" s="180"/>
      <c r="S270" s="180"/>
      <c r="T270" s="180"/>
      <c r="U270" s="180"/>
    </row>
    <row r="271" spans="2:21">
      <c r="B271" s="399"/>
      <c r="C271" s="159"/>
      <c r="D271" s="204" t="s">
        <v>267</v>
      </c>
      <c r="E271" s="180"/>
      <c r="F271" s="180"/>
      <c r="G271" s="180"/>
      <c r="H271" s="180"/>
      <c r="I271" s="180"/>
      <c r="J271" s="180"/>
      <c r="K271" s="180"/>
      <c r="L271" s="180"/>
      <c r="M271" s="180"/>
      <c r="N271" s="180"/>
      <c r="O271" s="180"/>
      <c r="P271" s="180"/>
      <c r="Q271" s="180"/>
      <c r="R271" s="180"/>
      <c r="S271" s="180"/>
      <c r="T271" s="180"/>
      <c r="U271" s="180"/>
    </row>
    <row r="272" spans="2:21">
      <c r="B272" s="192"/>
      <c r="C272" s="193"/>
      <c r="D272" s="204" t="s">
        <v>268</v>
      </c>
      <c r="E272" s="180"/>
      <c r="F272" s="180"/>
      <c r="G272" s="180"/>
      <c r="H272" s="180"/>
      <c r="I272" s="180"/>
      <c r="J272" s="180"/>
      <c r="K272" s="180"/>
      <c r="L272" s="180"/>
      <c r="M272" s="180"/>
      <c r="N272" s="180"/>
      <c r="O272" s="180"/>
      <c r="P272" s="180"/>
      <c r="Q272" s="180"/>
      <c r="R272" s="180"/>
      <c r="S272" s="180"/>
      <c r="T272" s="180"/>
      <c r="U272" s="180"/>
    </row>
    <row r="273" spans="2:21">
      <c r="B273" s="192"/>
      <c r="C273" s="193"/>
      <c r="D273" s="204" t="s">
        <v>166</v>
      </c>
      <c r="E273" s="180"/>
      <c r="F273" s="180"/>
      <c r="G273" s="180"/>
      <c r="H273" s="180"/>
      <c r="I273" s="180"/>
      <c r="J273" s="180"/>
      <c r="K273" s="180"/>
      <c r="L273" s="180"/>
      <c r="M273" s="180"/>
      <c r="N273" s="180"/>
      <c r="O273" s="180"/>
      <c r="P273" s="180"/>
      <c r="Q273" s="180"/>
      <c r="R273" s="180"/>
      <c r="S273" s="180"/>
      <c r="T273" s="180"/>
      <c r="U273" s="180"/>
    </row>
    <row r="274" spans="2:21">
      <c r="B274" s="192"/>
      <c r="C274" s="193"/>
      <c r="D274" s="204" t="s">
        <v>167</v>
      </c>
      <c r="E274" s="180"/>
      <c r="F274" s="180"/>
      <c r="G274" s="180"/>
      <c r="H274" s="180"/>
      <c r="I274" s="180"/>
      <c r="J274" s="180"/>
      <c r="K274" s="180"/>
      <c r="L274" s="180"/>
      <c r="M274" s="180"/>
      <c r="N274" s="180"/>
      <c r="O274" s="180"/>
      <c r="P274" s="180"/>
      <c r="Q274" s="180"/>
      <c r="R274" s="180"/>
      <c r="S274" s="180"/>
      <c r="T274" s="180"/>
      <c r="U274" s="180"/>
    </row>
    <row r="275" spans="2:21">
      <c r="B275" s="192"/>
      <c r="C275" s="193"/>
      <c r="D275" s="204" t="s">
        <v>605</v>
      </c>
      <c r="E275" s="180"/>
      <c r="F275" s="180"/>
      <c r="G275" s="180"/>
      <c r="H275" s="180"/>
      <c r="I275" s="180"/>
      <c r="J275" s="180"/>
      <c r="K275" s="180"/>
      <c r="L275" s="180"/>
      <c r="M275" s="180"/>
      <c r="N275" s="180"/>
      <c r="O275" s="180"/>
      <c r="P275" s="180"/>
      <c r="Q275" s="180"/>
      <c r="R275" s="180"/>
      <c r="S275" s="180"/>
      <c r="T275" s="180"/>
      <c r="U275" s="180"/>
    </row>
    <row r="276" spans="2:21">
      <c r="B276" s="192"/>
      <c r="C276" s="193"/>
      <c r="D276" s="204" t="s">
        <v>592</v>
      </c>
      <c r="E276" s="180"/>
      <c r="F276" s="180"/>
      <c r="G276" s="180"/>
      <c r="H276" s="180"/>
      <c r="I276" s="180"/>
      <c r="J276" s="180"/>
      <c r="K276" s="180"/>
      <c r="L276" s="180"/>
      <c r="M276" s="180"/>
      <c r="N276" s="180"/>
      <c r="O276" s="180"/>
      <c r="P276" s="180"/>
      <c r="Q276" s="180"/>
      <c r="R276" s="180"/>
      <c r="S276" s="180"/>
      <c r="T276" s="180"/>
      <c r="U276" s="180"/>
    </row>
    <row r="277" spans="2:21">
      <c r="B277" s="192"/>
      <c r="C277" s="193"/>
      <c r="D277" s="204" t="s">
        <v>606</v>
      </c>
      <c r="E277" s="180"/>
      <c r="F277" s="180"/>
      <c r="G277" s="180"/>
      <c r="H277" s="180"/>
      <c r="I277" s="180"/>
      <c r="J277" s="180"/>
      <c r="K277" s="180"/>
      <c r="L277" s="180"/>
      <c r="M277" s="180"/>
      <c r="N277" s="180"/>
      <c r="O277" s="180"/>
      <c r="P277" s="180"/>
      <c r="Q277" s="180"/>
      <c r="R277" s="180"/>
      <c r="S277" s="180"/>
      <c r="T277" s="180"/>
      <c r="U277" s="180"/>
    </row>
    <row r="278" spans="2:21">
      <c r="B278" s="192"/>
      <c r="C278" s="193"/>
      <c r="D278" s="204" t="s">
        <v>593</v>
      </c>
      <c r="E278" s="180"/>
      <c r="F278" s="180"/>
      <c r="G278" s="180"/>
      <c r="H278" s="180"/>
      <c r="I278" s="180"/>
      <c r="J278" s="180"/>
      <c r="K278" s="180"/>
      <c r="L278" s="180"/>
      <c r="M278" s="180"/>
      <c r="N278" s="180"/>
      <c r="O278" s="180"/>
      <c r="P278" s="180"/>
      <c r="Q278" s="180"/>
      <c r="R278" s="180"/>
      <c r="S278" s="180"/>
      <c r="T278" s="180"/>
      <c r="U278" s="180"/>
    </row>
    <row r="279" spans="2:21">
      <c r="B279" s="192"/>
      <c r="C279" s="193"/>
      <c r="D279" s="204" t="s">
        <v>273</v>
      </c>
      <c r="E279" s="180"/>
      <c r="F279" s="180"/>
      <c r="G279" s="180"/>
      <c r="H279" s="180"/>
      <c r="I279" s="180"/>
      <c r="J279" s="180"/>
      <c r="K279" s="180"/>
      <c r="L279" s="180"/>
      <c r="M279" s="180"/>
      <c r="N279" s="180"/>
      <c r="O279" s="180"/>
      <c r="P279" s="180"/>
      <c r="Q279" s="180"/>
      <c r="R279" s="180"/>
      <c r="S279" s="180"/>
      <c r="T279" s="180"/>
      <c r="U279" s="180"/>
    </row>
    <row r="280" spans="2:21">
      <c r="B280" s="192"/>
      <c r="C280" s="193"/>
      <c r="D280" s="393"/>
      <c r="E280" s="180"/>
      <c r="F280" s="180"/>
      <c r="G280" s="180"/>
      <c r="H280" s="180"/>
      <c r="I280" s="180"/>
      <c r="J280" s="180"/>
      <c r="K280" s="180"/>
      <c r="L280" s="204"/>
      <c r="M280" s="180"/>
      <c r="N280" s="180"/>
      <c r="O280" s="180"/>
      <c r="P280" s="180"/>
      <c r="Q280" s="180"/>
      <c r="R280" s="180"/>
      <c r="S280" s="180"/>
      <c r="T280" s="180"/>
      <c r="U280" s="180"/>
    </row>
    <row r="281" spans="2:21" ht="15" customHeight="1">
      <c r="B281" s="192" t="s">
        <v>441</v>
      </c>
      <c r="C281" s="193"/>
      <c r="D281" s="1460" t="s">
        <v>607</v>
      </c>
      <c r="E281" s="1461"/>
      <c r="F281" s="1461"/>
      <c r="G281" s="1461"/>
      <c r="H281" s="1461"/>
      <c r="I281" s="1461"/>
      <c r="J281" s="1461"/>
      <c r="K281" s="1461"/>
      <c r="L281" s="204"/>
      <c r="M281" s="180"/>
      <c r="N281" s="180"/>
      <c r="O281" s="180"/>
      <c r="P281" s="180"/>
      <c r="Q281" s="180"/>
      <c r="R281" s="180"/>
      <c r="S281" s="180"/>
      <c r="T281" s="180"/>
      <c r="U281" s="180"/>
    </row>
    <row r="282" spans="2:21">
      <c r="B282" s="192"/>
      <c r="C282" s="193"/>
      <c r="D282" s="1461"/>
      <c r="E282" s="1461"/>
      <c r="F282" s="1461"/>
      <c r="G282" s="1461"/>
      <c r="H282" s="1461"/>
      <c r="I282" s="1461"/>
      <c r="J282" s="1461"/>
      <c r="K282" s="1461"/>
      <c r="L282" s="204"/>
      <c r="M282" s="180"/>
      <c r="N282" s="180"/>
      <c r="O282" s="180"/>
      <c r="P282" s="180"/>
      <c r="Q282" s="180"/>
      <c r="R282" s="180"/>
      <c r="S282" s="180"/>
      <c r="T282" s="180"/>
      <c r="U282" s="180"/>
    </row>
    <row r="283" spans="2:21">
      <c r="E283" s="180"/>
      <c r="F283" s="180"/>
      <c r="G283" s="180"/>
      <c r="H283" s="180"/>
      <c r="I283" s="180"/>
      <c r="J283" s="180"/>
      <c r="K283" s="180"/>
      <c r="L283" s="180"/>
      <c r="M283" s="180"/>
      <c r="N283" s="180"/>
      <c r="O283" s="180"/>
      <c r="P283" s="180"/>
      <c r="Q283" s="180"/>
      <c r="R283" s="180"/>
      <c r="S283" s="180"/>
      <c r="T283" s="180"/>
      <c r="U283" s="180"/>
    </row>
    <row r="284" spans="2:21">
      <c r="B284" s="192" t="s">
        <v>442</v>
      </c>
      <c r="C284" s="193"/>
      <c r="D284" s="394" t="s">
        <v>797</v>
      </c>
      <c r="E284" s="180"/>
      <c r="F284" s="180"/>
      <c r="G284" s="180"/>
      <c r="H284" s="180"/>
      <c r="I284" s="180"/>
      <c r="J284" s="180"/>
      <c r="K284" s="180"/>
      <c r="L284" s="180"/>
      <c r="M284" s="180"/>
      <c r="N284" s="180"/>
      <c r="O284" s="180"/>
      <c r="P284" s="180"/>
      <c r="Q284" s="180"/>
      <c r="R284" s="180"/>
      <c r="S284" s="180"/>
      <c r="T284" s="180"/>
      <c r="U284" s="180"/>
    </row>
    <row r="285" spans="2:21">
      <c r="B285" s="192"/>
      <c r="C285" s="193"/>
      <c r="D285" s="394"/>
      <c r="E285" s="180"/>
      <c r="F285" s="180"/>
      <c r="G285" s="180"/>
      <c r="H285" s="180"/>
      <c r="I285" s="180"/>
      <c r="J285" s="180"/>
      <c r="K285" s="180"/>
      <c r="L285" s="180"/>
      <c r="M285" s="180"/>
      <c r="N285" s="180"/>
      <c r="O285" s="180"/>
      <c r="P285" s="180"/>
      <c r="Q285" s="180"/>
      <c r="R285" s="180"/>
      <c r="S285" s="180"/>
      <c r="T285" s="180"/>
      <c r="U285" s="180"/>
    </row>
    <row r="286" spans="2:21">
      <c r="B286" s="192" t="s">
        <v>443</v>
      </c>
      <c r="C286" s="193"/>
      <c r="D286" s="204" t="s">
        <v>30</v>
      </c>
      <c r="E286" s="180"/>
      <c r="F286" s="180"/>
      <c r="G286" s="180"/>
      <c r="H286" s="180"/>
      <c r="I286" s="180"/>
      <c r="J286" s="180"/>
      <c r="K286" s="180"/>
      <c r="L286" s="180"/>
      <c r="M286" s="180"/>
      <c r="N286" s="180"/>
      <c r="O286" s="180"/>
      <c r="P286" s="204"/>
      <c r="Q286" s="204"/>
      <c r="R286" s="180"/>
      <c r="S286" s="180"/>
      <c r="T286" s="180"/>
      <c r="U286" s="180"/>
    </row>
    <row r="287" spans="2:21">
      <c r="B287" s="192"/>
      <c r="C287" s="193"/>
      <c r="D287" s="204" t="s">
        <v>279</v>
      </c>
      <c r="E287" s="180"/>
      <c r="F287" s="180"/>
      <c r="G287" s="180"/>
      <c r="H287" s="180"/>
      <c r="I287" s="180"/>
      <c r="J287" s="180"/>
      <c r="K287" s="180"/>
      <c r="L287" s="180"/>
      <c r="M287" s="180"/>
      <c r="N287" s="180"/>
      <c r="O287" s="180"/>
      <c r="P287" s="204"/>
      <c r="Q287" s="204"/>
      <c r="R287" s="180"/>
      <c r="S287" s="180"/>
      <c r="T287" s="180"/>
      <c r="U287" s="180"/>
    </row>
    <row r="288" spans="2:21">
      <c r="B288" s="192"/>
      <c r="C288" s="193"/>
      <c r="D288" s="204" t="s">
        <v>285</v>
      </c>
      <c r="E288" s="180"/>
      <c r="F288" s="180"/>
      <c r="G288" s="180"/>
      <c r="H288" s="180"/>
      <c r="I288" s="180"/>
      <c r="J288" s="180"/>
      <c r="K288" s="180"/>
      <c r="L288" s="324"/>
      <c r="M288" s="180"/>
      <c r="N288" s="180"/>
      <c r="O288" s="180"/>
      <c r="P288" s="204"/>
      <c r="Q288" s="204"/>
      <c r="R288" s="180"/>
      <c r="S288" s="180"/>
      <c r="T288" s="180"/>
      <c r="U288" s="180"/>
    </row>
    <row r="289" spans="2:21">
      <c r="B289" s="192"/>
      <c r="C289" s="193"/>
      <c r="D289" s="204" t="s">
        <v>154</v>
      </c>
      <c r="E289" s="180"/>
      <c r="F289" s="180"/>
      <c r="G289" s="180"/>
      <c r="H289" s="180"/>
      <c r="I289" s="180"/>
      <c r="J289" s="180"/>
      <c r="K289" s="180"/>
      <c r="L289" s="324"/>
      <c r="M289" s="180"/>
      <c r="N289" s="180"/>
      <c r="O289" s="180"/>
      <c r="P289" s="204"/>
      <c r="Q289" s="180"/>
      <c r="R289" s="180"/>
      <c r="S289" s="180"/>
      <c r="T289" s="180"/>
      <c r="U289" s="180"/>
    </row>
    <row r="290" spans="2:21">
      <c r="B290" s="192"/>
      <c r="C290" s="193"/>
      <c r="D290" s="204" t="s">
        <v>594</v>
      </c>
      <c r="E290" s="180"/>
      <c r="F290" s="180"/>
      <c r="G290" s="180"/>
      <c r="H290" s="180"/>
      <c r="I290" s="180"/>
      <c r="J290" s="180"/>
      <c r="K290" s="180"/>
      <c r="L290" s="324"/>
      <c r="M290" s="180"/>
      <c r="N290" s="180"/>
      <c r="O290" s="180"/>
      <c r="P290" s="204"/>
      <c r="Q290" s="180"/>
      <c r="R290" s="180"/>
      <c r="S290" s="180"/>
      <c r="T290" s="180"/>
      <c r="U290" s="180"/>
    </row>
    <row r="291" spans="2:21">
      <c r="B291" s="192"/>
      <c r="C291" s="193"/>
      <c r="D291" s="204" t="s">
        <v>595</v>
      </c>
      <c r="E291" s="180"/>
      <c r="F291" s="180"/>
      <c r="G291" s="180"/>
      <c r="H291" s="180"/>
      <c r="I291" s="180"/>
      <c r="J291" s="180"/>
      <c r="K291" s="180"/>
      <c r="L291" s="324"/>
      <c r="M291" s="180"/>
      <c r="N291" s="180"/>
      <c r="O291" s="180"/>
      <c r="P291" s="204"/>
      <c r="Q291" s="180"/>
      <c r="R291" s="180"/>
      <c r="S291" s="180"/>
      <c r="T291" s="180"/>
      <c r="U291" s="180"/>
    </row>
    <row r="292" spans="2:21">
      <c r="B292" s="192"/>
      <c r="C292" s="193"/>
      <c r="D292" s="204" t="s">
        <v>596</v>
      </c>
      <c r="E292" s="180"/>
      <c r="F292" s="180"/>
      <c r="G292" s="180"/>
      <c r="H292" s="180"/>
      <c r="I292" s="180"/>
      <c r="J292" s="180"/>
      <c r="K292" s="180"/>
      <c r="L292" s="324"/>
      <c r="M292" s="180"/>
      <c r="N292" s="180"/>
      <c r="O292" s="180"/>
      <c r="P292" s="204"/>
      <c r="Q292" s="180"/>
      <c r="R292" s="180"/>
      <c r="S292" s="180"/>
      <c r="T292" s="180"/>
      <c r="U292" s="180"/>
    </row>
    <row r="293" spans="2:21">
      <c r="B293" s="192"/>
      <c r="C293" s="193"/>
      <c r="D293" s="204" t="s">
        <v>100</v>
      </c>
      <c r="E293" s="180"/>
      <c r="F293" s="180"/>
      <c r="G293" s="180"/>
      <c r="H293" s="180"/>
      <c r="I293" s="180"/>
      <c r="J293" s="180"/>
      <c r="K293" s="180"/>
      <c r="L293" s="324"/>
      <c r="M293" s="180"/>
      <c r="N293" s="180"/>
      <c r="O293" s="180"/>
      <c r="P293" s="204"/>
      <c r="Q293" s="180"/>
      <c r="R293" s="180"/>
      <c r="S293" s="180"/>
      <c r="T293" s="180"/>
      <c r="U293" s="180"/>
    </row>
    <row r="294" spans="2:21">
      <c r="B294" s="192"/>
      <c r="C294" s="193"/>
      <c r="D294" s="204"/>
      <c r="E294" s="180"/>
      <c r="F294" s="180"/>
      <c r="G294" s="180"/>
      <c r="H294" s="180"/>
      <c r="I294" s="180"/>
      <c r="J294" s="180"/>
      <c r="K294" s="180"/>
      <c r="L294" s="324"/>
      <c r="M294" s="180"/>
      <c r="N294" s="180"/>
      <c r="O294" s="180"/>
      <c r="P294" s="204"/>
      <c r="Q294" s="180"/>
      <c r="R294" s="180"/>
      <c r="S294" s="180"/>
      <c r="T294" s="180"/>
      <c r="U294" s="180"/>
    </row>
    <row r="295" spans="2:21">
      <c r="B295" s="192" t="s">
        <v>444</v>
      </c>
      <c r="C295" s="204"/>
      <c r="D295"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0"/>
      <c r="N295" s="180"/>
      <c r="O295" s="180"/>
      <c r="P295" s="180"/>
      <c r="Q295" s="180"/>
      <c r="R295" s="180"/>
      <c r="S295" s="180"/>
      <c r="T295" s="180"/>
      <c r="U295" s="180"/>
    </row>
    <row r="296" spans="2:21">
      <c r="B296" s="192"/>
      <c r="C296" s="204"/>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2"/>
      <c r="F296" s="242"/>
      <c r="G296" s="242"/>
      <c r="H296" s="242"/>
      <c r="I296" s="242"/>
      <c r="J296" s="242"/>
      <c r="K296" s="242"/>
      <c r="L296" s="402"/>
      <c r="M296" s="180"/>
      <c r="N296" s="180"/>
      <c r="O296" s="180"/>
      <c r="P296" s="180"/>
      <c r="Q296" s="180"/>
      <c r="R296" s="180"/>
      <c r="S296" s="180"/>
      <c r="T296" s="180"/>
      <c r="U296" s="180"/>
    </row>
    <row r="297" spans="2:21">
      <c r="B297" s="192"/>
      <c r="C297" s="204"/>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0"/>
      <c r="N297" s="180"/>
      <c r="O297" s="180"/>
      <c r="P297" s="180"/>
      <c r="Q297" s="180"/>
      <c r="R297" s="180"/>
      <c r="S297" s="180"/>
      <c r="T297" s="180"/>
      <c r="U297" s="180"/>
    </row>
    <row r="298" spans="2:21">
      <c r="B298" s="192"/>
      <c r="C298" s="204"/>
      <c r="D298" s="403" t="str">
        <f>+"3)  The impact of state regulatory deferrals and amortizations, as shown on line  "&amp;B133&amp;""</f>
        <v>3)  The impact of state regulatory deferrals and amortizations, as shown on line  65</v>
      </c>
      <c r="E298" s="242"/>
      <c r="F298" s="242"/>
      <c r="G298" s="242"/>
      <c r="H298" s="242"/>
      <c r="I298" s="242"/>
      <c r="J298" s="242"/>
      <c r="K298" s="242"/>
      <c r="L298" s="402"/>
      <c r="M298" s="180"/>
      <c r="N298" s="180"/>
      <c r="O298" s="180"/>
      <c r="P298" s="180"/>
      <c r="Q298" s="180"/>
      <c r="R298" s="180"/>
      <c r="S298" s="180"/>
      <c r="T298" s="180"/>
      <c r="U298" s="180"/>
    </row>
    <row r="299" spans="2:21">
      <c r="B299" s="192"/>
      <c r="C299" s="242"/>
      <c r="D299" s="404" t="str">
        <f>"4) All A&amp;G Expenses, as shown on line "&amp;B147&amp;"."</f>
        <v>4) All A&amp;G Expenses, as shown on line 78.</v>
      </c>
      <c r="E299" s="401"/>
      <c r="F299" s="401"/>
      <c r="G299" s="401"/>
      <c r="H299" s="401"/>
      <c r="I299" s="401"/>
      <c r="J299" s="401"/>
      <c r="K299" s="401"/>
      <c r="L299" s="402"/>
      <c r="M299" s="180"/>
      <c r="N299" s="180"/>
      <c r="O299" s="180"/>
      <c r="P299" s="180"/>
      <c r="Q299" s="180"/>
      <c r="R299" s="180"/>
      <c r="S299" s="180"/>
      <c r="T299" s="180"/>
      <c r="U299" s="180"/>
    </row>
    <row r="300" spans="2:21">
      <c r="B300" s="192"/>
      <c r="C300" s="193"/>
      <c r="D300" s="403"/>
      <c r="E300" s="405"/>
      <c r="F300" s="405"/>
      <c r="G300" s="405"/>
      <c r="H300" s="405"/>
      <c r="I300" s="405"/>
      <c r="J300" s="405"/>
      <c r="K300" s="405"/>
      <c r="L300" s="180"/>
      <c r="M300" s="180"/>
      <c r="N300" s="180"/>
      <c r="O300" s="180"/>
      <c r="P300" s="180"/>
      <c r="Q300" s="180"/>
      <c r="R300" s="180"/>
      <c r="S300" s="180"/>
      <c r="T300" s="180"/>
      <c r="U300" s="180"/>
    </row>
    <row r="301" spans="2:21">
      <c r="B301" s="398" t="s">
        <v>445</v>
      </c>
      <c r="C301" s="271"/>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59"/>
      <c r="M301" s="180"/>
      <c r="N301" s="180"/>
      <c r="O301" s="180"/>
      <c r="P301" s="180"/>
      <c r="Q301" s="180"/>
      <c r="R301" s="180"/>
      <c r="S301" s="180"/>
      <c r="T301" s="180"/>
      <c r="U301" s="180"/>
    </row>
    <row r="302" spans="2:21">
      <c r="B302" s="399"/>
      <c r="C302" s="159"/>
      <c r="D302" s="406" t="s">
        <v>501</v>
      </c>
      <c r="E302" s="406"/>
      <c r="F302" s="406"/>
      <c r="G302" s="406"/>
      <c r="H302" s="406"/>
      <c r="I302" s="406"/>
      <c r="J302" s="406"/>
      <c r="K302" s="406"/>
      <c r="L302" s="159"/>
      <c r="M302" s="180"/>
      <c r="N302" s="180"/>
      <c r="O302" s="180"/>
      <c r="P302" s="180"/>
      <c r="Q302" s="180"/>
      <c r="R302" s="180"/>
      <c r="S302" s="180"/>
      <c r="T302" s="180"/>
      <c r="U302" s="180"/>
    </row>
    <row r="303" spans="2:21">
      <c r="B303" s="399"/>
      <c r="C303" s="159"/>
      <c r="D303" s="406" t="str">
        <f>"expense is included on line "&amp;B185&amp;"."</f>
        <v>expense is included on line 110.</v>
      </c>
      <c r="E303" s="406"/>
      <c r="F303" s="406"/>
      <c r="G303" s="406"/>
      <c r="H303" s="406"/>
      <c r="I303" s="406"/>
      <c r="J303" s="406"/>
      <c r="K303" s="406"/>
      <c r="L303" s="159"/>
      <c r="M303" s="180"/>
      <c r="N303" s="180"/>
      <c r="O303" s="180"/>
      <c r="P303" s="180"/>
      <c r="Q303" s="180"/>
      <c r="R303" s="180"/>
      <c r="S303" s="180"/>
      <c r="T303" s="180"/>
      <c r="U303" s="180"/>
    </row>
    <row r="304" spans="2:21" ht="21" customHeight="1">
      <c r="B304" s="399"/>
      <c r="C304" s="159"/>
      <c r="D304" s="406"/>
      <c r="E304" s="406"/>
      <c r="F304" s="406"/>
      <c r="G304" s="406"/>
      <c r="H304" s="406"/>
      <c r="I304" s="406"/>
      <c r="J304" s="406"/>
      <c r="K304" s="406"/>
      <c r="L304" s="159"/>
      <c r="M304" s="159"/>
      <c r="N304" s="180"/>
      <c r="O304" s="180"/>
      <c r="P304" s="180"/>
      <c r="Q304" s="180"/>
      <c r="R304" s="180"/>
      <c r="S304" s="180"/>
      <c r="T304" s="180"/>
      <c r="U304" s="180"/>
    </row>
    <row r="305" spans="2:21" ht="14.25" customHeight="1">
      <c r="B305" s="398" t="s">
        <v>446</v>
      </c>
      <c r="C305" s="159"/>
      <c r="D305" s="1474"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74"/>
      <c r="F305" s="1474"/>
      <c r="G305" s="1474"/>
      <c r="H305" s="1474"/>
      <c r="I305" s="1474"/>
      <c r="J305" s="1474"/>
      <c r="K305" s="1474"/>
      <c r="L305" s="159"/>
      <c r="M305" s="159"/>
      <c r="N305" s="180"/>
      <c r="O305" s="180"/>
      <c r="P305" s="180"/>
      <c r="Q305" s="180"/>
      <c r="R305" s="180"/>
      <c r="S305" s="180"/>
      <c r="T305" s="180"/>
      <c r="U305" s="180"/>
    </row>
    <row r="306" spans="2:21" ht="45" customHeight="1">
      <c r="B306" s="398"/>
      <c r="C306" s="159"/>
      <c r="D306" s="1474"/>
      <c r="E306" s="1474"/>
      <c r="F306" s="1474"/>
      <c r="G306" s="1474"/>
      <c r="H306" s="1474"/>
      <c r="I306" s="1474"/>
      <c r="J306" s="1474"/>
      <c r="K306" s="1474"/>
      <c r="L306" s="159"/>
      <c r="M306" s="159"/>
      <c r="N306" s="180"/>
      <c r="O306" s="180"/>
      <c r="P306" s="180"/>
      <c r="Q306" s="180"/>
      <c r="R306" s="180"/>
      <c r="S306" s="180"/>
      <c r="T306" s="180"/>
      <c r="U306" s="180"/>
    </row>
    <row r="307" spans="2:21" ht="5.25" hidden="1" customHeight="1">
      <c r="B307" s="398"/>
      <c r="C307" s="159"/>
      <c r="D307" s="1474"/>
      <c r="E307" s="1474"/>
      <c r="F307" s="1474"/>
      <c r="G307" s="1474"/>
      <c r="H307" s="1474"/>
      <c r="I307" s="1474"/>
      <c r="J307" s="1474"/>
      <c r="K307" s="1474"/>
      <c r="L307" s="159"/>
      <c r="M307" s="159"/>
      <c r="N307" s="180"/>
      <c r="O307" s="180"/>
      <c r="P307" s="180"/>
      <c r="Q307" s="180"/>
      <c r="R307" s="180"/>
      <c r="S307" s="180"/>
      <c r="T307" s="180"/>
      <c r="U307" s="180"/>
    </row>
    <row r="308" spans="2:21">
      <c r="B308" s="398"/>
      <c r="C308" s="159"/>
      <c r="D308" s="403"/>
      <c r="E308" s="406"/>
      <c r="F308" s="406"/>
      <c r="G308" s="406"/>
      <c r="H308" s="406"/>
      <c r="I308" s="406"/>
      <c r="J308" s="406"/>
      <c r="K308" s="406"/>
      <c r="L308" s="159"/>
      <c r="M308" s="159"/>
      <c r="N308" s="180"/>
      <c r="O308" s="180"/>
      <c r="P308" s="180"/>
      <c r="Q308" s="180"/>
      <c r="R308" s="180"/>
      <c r="S308" s="180"/>
      <c r="T308" s="180"/>
      <c r="U308" s="180"/>
    </row>
    <row r="309" spans="2:21">
      <c r="B309" s="398" t="s">
        <v>447</v>
      </c>
      <c r="C309" s="159"/>
      <c r="D309" s="1477"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77"/>
      <c r="F309" s="1477"/>
      <c r="G309" s="1477"/>
      <c r="H309" s="1477"/>
      <c r="I309" s="1477"/>
      <c r="J309" s="1477"/>
      <c r="K309" s="1477"/>
      <c r="L309" s="159"/>
      <c r="M309" s="159"/>
      <c r="N309" s="180"/>
      <c r="O309" s="180"/>
      <c r="P309" s="180"/>
      <c r="Q309" s="180"/>
      <c r="R309" s="180"/>
      <c r="S309" s="180"/>
      <c r="T309" s="180"/>
      <c r="U309" s="180"/>
    </row>
    <row r="310" spans="2:21">
      <c r="B310" s="398"/>
      <c r="C310" s="159"/>
      <c r="D310" s="1477"/>
      <c r="E310" s="1477"/>
      <c r="F310" s="1477"/>
      <c r="G310" s="1477"/>
      <c r="H310" s="1477"/>
      <c r="I310" s="1477"/>
      <c r="J310" s="1477"/>
      <c r="K310" s="1477"/>
      <c r="L310" s="159"/>
      <c r="M310" s="159"/>
      <c r="N310" s="180"/>
      <c r="O310" s="180"/>
      <c r="P310" s="180"/>
      <c r="Q310" s="180"/>
      <c r="R310" s="180"/>
      <c r="S310" s="180"/>
      <c r="T310" s="180"/>
      <c r="U310" s="180"/>
    </row>
    <row r="311" spans="2:21">
      <c r="B311" s="398"/>
      <c r="C311" s="159"/>
      <c r="D311" s="1478"/>
      <c r="E311" s="1478"/>
      <c r="F311" s="1478"/>
      <c r="G311" s="1478"/>
      <c r="H311" s="1478"/>
      <c r="I311" s="1478"/>
      <c r="J311" s="1478"/>
      <c r="K311" s="1478"/>
      <c r="L311" s="159"/>
      <c r="M311" s="159"/>
      <c r="N311" s="180"/>
      <c r="O311" s="180"/>
      <c r="P311" s="180"/>
      <c r="Q311" s="180"/>
      <c r="R311" s="180"/>
      <c r="S311" s="180"/>
      <c r="T311" s="180"/>
      <c r="U311" s="180"/>
    </row>
    <row r="312" spans="2:21">
      <c r="B312" s="398"/>
      <c r="C312" s="159"/>
      <c r="D312" s="1479"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79"/>
      <c r="F312" s="1479"/>
      <c r="G312" s="1479"/>
      <c r="H312" s="1479"/>
      <c r="I312" s="1479"/>
      <c r="J312" s="1479"/>
      <c r="K312" s="407"/>
      <c r="L312" s="159"/>
      <c r="M312" s="159"/>
      <c r="N312" s="180"/>
      <c r="O312" s="180"/>
      <c r="P312" s="180"/>
      <c r="Q312" s="180"/>
      <c r="R312" s="180"/>
      <c r="S312" s="180"/>
      <c r="T312" s="180"/>
      <c r="U312" s="180"/>
    </row>
    <row r="313" spans="2:21">
      <c r="B313" s="398"/>
      <c r="C313" s="159"/>
      <c r="D313" s="1479"/>
      <c r="E313" s="1479"/>
      <c r="F313" s="1479"/>
      <c r="G313" s="1479"/>
      <c r="H313" s="1479"/>
      <c r="I313" s="1479"/>
      <c r="J313" s="1479"/>
      <c r="K313" s="407"/>
      <c r="L313" s="159"/>
      <c r="M313" s="159"/>
      <c r="N313" s="180"/>
      <c r="O313" s="180"/>
      <c r="P313" s="180"/>
      <c r="Q313" s="180"/>
      <c r="R313" s="180"/>
      <c r="S313" s="180"/>
      <c r="T313" s="180"/>
      <c r="U313" s="180"/>
    </row>
    <row r="314" spans="2:21" ht="22.5" customHeight="1">
      <c r="B314" s="398"/>
      <c r="C314" s="159"/>
      <c r="D314" s="406" t="str">
        <f>"The company records referenced on line"&amp;B150&amp;" is the "&amp;F9&amp;" general ledger."</f>
        <v>The company records referenced on line80 is the AEP Ohio Transmission Company general ledger.</v>
      </c>
      <c r="E314" s="408"/>
      <c r="F314" s="408"/>
      <c r="G314" s="408"/>
      <c r="H314" s="408"/>
      <c r="I314" s="408"/>
      <c r="J314" s="408"/>
      <c r="K314" s="407"/>
      <c r="L314" s="159"/>
      <c r="M314" s="159"/>
      <c r="N314" s="180"/>
      <c r="O314" s="180"/>
      <c r="P314" s="180"/>
      <c r="Q314" s="180"/>
      <c r="R314" s="180"/>
      <c r="S314" s="180"/>
      <c r="T314" s="180"/>
      <c r="U314" s="180"/>
    </row>
    <row r="315" spans="2:21">
      <c r="B315" s="398"/>
      <c r="C315" s="159"/>
      <c r="D315" s="408"/>
      <c r="E315" s="408"/>
      <c r="F315" s="408"/>
      <c r="G315" s="408"/>
      <c r="H315" s="408"/>
      <c r="I315" s="408"/>
      <c r="J315" s="408"/>
      <c r="K315" s="408"/>
      <c r="L315" s="159"/>
      <c r="M315" s="159"/>
      <c r="N315" s="180"/>
      <c r="O315" s="180"/>
      <c r="P315" s="180"/>
      <c r="Q315" s="180"/>
      <c r="R315" s="180"/>
      <c r="S315" s="180"/>
      <c r="T315" s="180"/>
      <c r="U315" s="180"/>
    </row>
    <row r="316" spans="2:21">
      <c r="B316" s="398" t="s">
        <v>448</v>
      </c>
      <c r="C316" s="159"/>
      <c r="D316" s="406" t="s">
        <v>597</v>
      </c>
      <c r="E316" s="208"/>
      <c r="F316" s="208"/>
      <c r="G316" s="208"/>
      <c r="H316" s="208"/>
      <c r="I316" s="208"/>
      <c r="J316" s="208"/>
      <c r="K316" s="208"/>
      <c r="L316" s="159"/>
      <c r="M316" s="159"/>
      <c r="N316" s="180"/>
      <c r="O316" s="180"/>
      <c r="P316" s="180"/>
      <c r="Q316" s="180"/>
      <c r="R316" s="180"/>
      <c r="S316" s="180"/>
      <c r="T316" s="180"/>
      <c r="U316" s="180"/>
    </row>
    <row r="317" spans="2:21">
      <c r="B317" s="398"/>
      <c r="C317" s="159"/>
      <c r="D317" s="409"/>
      <c r="E317" s="409"/>
      <c r="F317" s="409"/>
      <c r="G317" s="409"/>
      <c r="H317" s="409"/>
      <c r="I317" s="409"/>
      <c r="J317" s="409"/>
      <c r="K317" s="409"/>
      <c r="L317" s="159"/>
      <c r="M317" s="159"/>
      <c r="N317" s="180"/>
      <c r="O317" s="180"/>
      <c r="P317" s="180"/>
      <c r="Q317" s="180"/>
      <c r="R317" s="180"/>
      <c r="S317" s="180"/>
      <c r="T317" s="180"/>
      <c r="U317" s="180"/>
    </row>
    <row r="318" spans="2:21" ht="15" customHeight="1">
      <c r="B318" s="398" t="s">
        <v>449</v>
      </c>
      <c r="C318" s="159"/>
      <c r="D318" s="1481" t="s">
        <v>7</v>
      </c>
      <c r="E318" s="1461"/>
      <c r="F318" s="1461"/>
      <c r="G318" s="1461"/>
      <c r="H318" s="1461"/>
      <c r="I318" s="1461"/>
      <c r="J318" s="1461"/>
      <c r="K318" s="406"/>
      <c r="L318" s="159"/>
      <c r="M318" s="159"/>
      <c r="N318" s="180"/>
      <c r="O318" s="180"/>
      <c r="P318" s="180"/>
      <c r="Q318" s="180"/>
      <c r="R318" s="180"/>
      <c r="S318" s="180"/>
      <c r="T318" s="180"/>
      <c r="U318" s="180"/>
    </row>
    <row r="319" spans="2:21">
      <c r="B319" s="398"/>
      <c r="C319" s="159"/>
      <c r="D319" s="1482"/>
      <c r="E319" s="1482"/>
      <c r="F319" s="1482"/>
      <c r="G319" s="1482"/>
      <c r="H319" s="1482"/>
      <c r="I319" s="1482"/>
      <c r="J319" s="1482"/>
      <c r="K319" s="409"/>
      <c r="L319" s="159"/>
      <c r="M319" s="159"/>
      <c r="N319" s="180"/>
      <c r="O319" s="180"/>
      <c r="P319" s="180"/>
      <c r="Q319" s="180"/>
      <c r="R319" s="180"/>
      <c r="S319" s="180"/>
      <c r="T319" s="180"/>
      <c r="U319" s="180"/>
    </row>
    <row r="320" spans="2:21">
      <c r="B320" s="398"/>
      <c r="C320" s="159"/>
      <c r="D320" s="1461"/>
      <c r="E320" s="1461"/>
      <c r="F320" s="1461"/>
      <c r="G320" s="1461"/>
      <c r="H320" s="1461"/>
      <c r="I320" s="1461"/>
      <c r="J320" s="1461"/>
      <c r="K320" s="406"/>
      <c r="L320" s="159"/>
      <c r="M320" s="159"/>
      <c r="N320" s="180"/>
      <c r="O320" s="180"/>
      <c r="P320" s="180"/>
      <c r="Q320" s="180"/>
      <c r="R320" s="180"/>
      <c r="S320" s="180"/>
      <c r="T320" s="180"/>
      <c r="U320" s="180"/>
    </row>
    <row r="321" spans="2:21">
      <c r="B321" s="398"/>
      <c r="C321" s="159"/>
      <c r="D321" s="159"/>
      <c r="E321" s="159"/>
      <c r="F321" s="159"/>
      <c r="G321" s="159"/>
      <c r="H321" s="159"/>
      <c r="I321" s="159"/>
      <c r="J321" s="159"/>
      <c r="K321" s="159"/>
      <c r="L321" s="159"/>
      <c r="M321" s="159"/>
      <c r="N321" s="180"/>
      <c r="O321" s="180"/>
      <c r="P321" s="180"/>
      <c r="Q321" s="180"/>
      <c r="R321" s="180"/>
      <c r="S321" s="180"/>
      <c r="T321" s="180"/>
      <c r="U321" s="180"/>
    </row>
    <row r="322" spans="2:21" ht="15" customHeight="1">
      <c r="B322" s="192" t="s">
        <v>450</v>
      </c>
      <c r="C322" s="159"/>
      <c r="D322" s="1475" t="s">
        <v>795</v>
      </c>
      <c r="E322" s="1476"/>
      <c r="F322" s="1476"/>
      <c r="G322" s="1476"/>
      <c r="H322" s="1476"/>
      <c r="I322" s="1476"/>
      <c r="J322" s="1476"/>
      <c r="K322" s="1476"/>
      <c r="L322" s="159"/>
      <c r="M322" s="159"/>
      <c r="N322" s="180"/>
      <c r="O322" s="180"/>
      <c r="P322" s="180"/>
      <c r="Q322" s="180"/>
      <c r="R322" s="180"/>
      <c r="S322" s="180"/>
      <c r="T322" s="180"/>
      <c r="U322" s="180"/>
    </row>
    <row r="323" spans="2:21">
      <c r="B323" s="398"/>
      <c r="C323" s="159"/>
      <c r="D323" s="159"/>
      <c r="E323" s="159"/>
      <c r="F323" s="159"/>
      <c r="G323" s="159"/>
      <c r="H323" s="159"/>
      <c r="I323" s="159"/>
      <c r="J323" s="159"/>
      <c r="K323" s="159"/>
      <c r="L323" s="159"/>
      <c r="M323" s="159"/>
      <c r="N323" s="180"/>
      <c r="O323" s="180"/>
      <c r="P323" s="180"/>
      <c r="Q323" s="180"/>
      <c r="R323" s="180"/>
      <c r="S323" s="180"/>
      <c r="T323" s="180"/>
      <c r="U323" s="180"/>
    </row>
    <row r="324" spans="2:21">
      <c r="B324" s="192" t="s">
        <v>451</v>
      </c>
      <c r="C324" s="193"/>
      <c r="D324" s="204" t="s">
        <v>150</v>
      </c>
      <c r="E324" s="180"/>
      <c r="F324" s="180"/>
      <c r="G324" s="180"/>
      <c r="H324" s="180"/>
      <c r="I324" s="180"/>
      <c r="J324" s="180"/>
      <c r="K324" s="180"/>
      <c r="L324" s="180"/>
      <c r="M324" s="159"/>
      <c r="N324" s="180"/>
      <c r="O324" s="180"/>
      <c r="P324" s="180"/>
      <c r="Q324" s="180"/>
      <c r="R324" s="180"/>
      <c r="S324" s="180"/>
      <c r="T324" s="180"/>
      <c r="U324" s="180"/>
    </row>
    <row r="325" spans="2:21">
      <c r="B325" s="192"/>
      <c r="C325" s="193"/>
      <c r="D325" s="204" t="s">
        <v>269</v>
      </c>
      <c r="E325" s="180"/>
      <c r="F325" s="180"/>
      <c r="G325" s="180"/>
      <c r="H325" s="180"/>
      <c r="I325" s="180"/>
      <c r="J325" s="180"/>
      <c r="K325" s="180"/>
      <c r="L325" s="180"/>
      <c r="M325" s="159"/>
      <c r="N325" s="180"/>
      <c r="O325" s="180"/>
      <c r="P325" s="180"/>
      <c r="Q325" s="180"/>
      <c r="R325" s="180"/>
      <c r="S325" s="180"/>
      <c r="T325" s="180"/>
      <c r="U325" s="180"/>
    </row>
    <row r="326" spans="2:21">
      <c r="B326" s="192"/>
      <c r="C326" s="193"/>
      <c r="D326" s="204" t="s">
        <v>270</v>
      </c>
      <c r="E326" s="180"/>
      <c r="F326" s="180"/>
      <c r="G326" s="180"/>
      <c r="H326" s="180"/>
      <c r="I326" s="180"/>
      <c r="J326" s="180"/>
      <c r="K326" s="180"/>
      <c r="L326" s="180"/>
      <c r="M326" s="159"/>
      <c r="N326" s="180"/>
      <c r="O326" s="180"/>
      <c r="P326" s="180"/>
      <c r="Q326" s="180"/>
      <c r="R326" s="180"/>
      <c r="S326" s="180"/>
      <c r="T326" s="180"/>
      <c r="U326" s="180"/>
    </row>
    <row r="327" spans="2:21">
      <c r="B327" s="192"/>
      <c r="C327" s="193"/>
      <c r="D327" s="159" t="s">
        <v>271</v>
      </c>
      <c r="E327" s="180"/>
      <c r="F327" s="180"/>
      <c r="G327" s="180"/>
      <c r="H327" s="180"/>
      <c r="I327" s="180"/>
      <c r="J327" s="180"/>
      <c r="K327" s="180"/>
      <c r="L327" s="180"/>
      <c r="M327" s="159"/>
      <c r="N327" s="180"/>
      <c r="O327" s="180"/>
      <c r="P327" s="180"/>
      <c r="Q327" s="180"/>
      <c r="R327" s="180"/>
      <c r="S327" s="180"/>
      <c r="T327" s="180"/>
      <c r="U327" s="180"/>
    </row>
    <row r="328" spans="2:21">
      <c r="B328" s="192"/>
      <c r="C328" s="193"/>
      <c r="D328" s="159"/>
      <c r="E328" s="180"/>
      <c r="F328" s="180"/>
      <c r="G328" s="180"/>
      <c r="H328" s="180"/>
      <c r="I328" s="180"/>
      <c r="J328" s="180"/>
      <c r="K328" s="180"/>
      <c r="L328" s="180"/>
      <c r="M328" s="159"/>
      <c r="N328" s="180"/>
      <c r="O328" s="180"/>
      <c r="P328" s="180"/>
      <c r="Q328" s="180"/>
      <c r="R328" s="180"/>
      <c r="S328" s="180"/>
      <c r="T328" s="180"/>
      <c r="U328" s="180"/>
    </row>
    <row r="329" spans="2:21" ht="25.5" customHeight="1">
      <c r="B329" s="192" t="s">
        <v>452</v>
      </c>
      <c r="C329" s="193"/>
      <c r="D329" s="1480" t="s">
        <v>796</v>
      </c>
      <c r="E329" s="1480"/>
      <c r="F329" s="1480"/>
      <c r="G329" s="1480"/>
      <c r="H329" s="1480"/>
      <c r="I329" s="1480"/>
      <c r="J329" s="1480"/>
      <c r="K329" s="1480"/>
      <c r="L329" s="1480"/>
      <c r="M329" s="159"/>
      <c r="N329" s="180"/>
      <c r="O329" s="180"/>
      <c r="P329" s="180"/>
      <c r="Q329" s="180"/>
      <c r="R329" s="180"/>
      <c r="S329" s="180"/>
      <c r="T329" s="180"/>
      <c r="U329" s="180"/>
    </row>
    <row r="330" spans="2:21">
      <c r="B330" s="192"/>
      <c r="C330" s="193"/>
      <c r="D330" s="1480"/>
      <c r="E330" s="1480"/>
      <c r="F330" s="1480"/>
      <c r="G330" s="1480"/>
      <c r="H330" s="1480"/>
      <c r="I330" s="1480"/>
      <c r="J330" s="1480"/>
      <c r="K330" s="1480"/>
      <c r="L330" s="1480"/>
      <c r="M330" s="159"/>
      <c r="N330" s="180"/>
      <c r="O330" s="180"/>
      <c r="P330" s="180"/>
      <c r="Q330" s="180"/>
      <c r="R330" s="180"/>
      <c r="S330" s="180"/>
      <c r="T330" s="180"/>
      <c r="U330" s="180"/>
    </row>
    <row r="331" spans="2:21">
      <c r="B331" s="192"/>
      <c r="C331" s="193"/>
      <c r="D331" s="1480"/>
      <c r="E331" s="1480"/>
      <c r="F331" s="1480"/>
      <c r="G331" s="1480"/>
      <c r="H331" s="1480"/>
      <c r="I331" s="1480"/>
      <c r="J331" s="1480"/>
      <c r="K331" s="1480"/>
      <c r="L331" s="1480"/>
      <c r="M331" s="159"/>
      <c r="N331" s="180"/>
      <c r="O331" s="180"/>
      <c r="P331" s="180"/>
      <c r="Q331" s="180"/>
      <c r="R331" s="180"/>
      <c r="S331" s="180"/>
      <c r="T331" s="180"/>
      <c r="U331" s="180"/>
    </row>
    <row r="332" spans="2:21">
      <c r="B332" s="192"/>
      <c r="C332" s="193"/>
      <c r="D332" s="410"/>
      <c r="E332" s="180"/>
      <c r="F332" s="180"/>
      <c r="G332" s="180"/>
      <c r="H332" s="180"/>
      <c r="I332" s="180"/>
      <c r="J332" s="180"/>
      <c r="K332" s="180"/>
      <c r="L332" s="180"/>
      <c r="M332" s="159"/>
      <c r="N332" s="180"/>
      <c r="O332" s="180"/>
      <c r="P332" s="180"/>
      <c r="Q332" s="180"/>
      <c r="R332" s="180"/>
      <c r="S332" s="180"/>
      <c r="T332" s="180"/>
      <c r="U332" s="180"/>
    </row>
    <row r="333" spans="2:21">
      <c r="B333" s="270" t="s">
        <v>31</v>
      </c>
      <c r="C333" s="193"/>
      <c r="D333" s="204" t="s">
        <v>588</v>
      </c>
      <c r="E333" s="163"/>
      <c r="F333" s="163"/>
      <c r="G333" s="163"/>
      <c r="H333" s="163"/>
      <c r="I333" s="163"/>
      <c r="J333" s="163"/>
      <c r="K333" s="159"/>
      <c r="L333" s="159"/>
      <c r="M333" s="159"/>
      <c r="N333" s="180"/>
      <c r="O333" s="180"/>
      <c r="P333" s="180"/>
      <c r="Q333" s="180"/>
      <c r="R333" s="180"/>
      <c r="S333" s="180"/>
      <c r="T333" s="180"/>
      <c r="U333" s="180"/>
    </row>
    <row r="334" spans="2:21">
      <c r="B334" s="270"/>
      <c r="C334" s="193"/>
      <c r="D334" s="163"/>
      <c r="E334" s="163"/>
      <c r="F334" s="163"/>
      <c r="G334" s="163"/>
      <c r="H334" s="163"/>
      <c r="I334" s="163"/>
      <c r="J334" s="163"/>
      <c r="K334" s="159"/>
      <c r="L334" s="159"/>
      <c r="M334" s="159"/>
      <c r="N334" s="180"/>
      <c r="O334" s="180"/>
      <c r="P334" s="180"/>
      <c r="Q334" s="180"/>
      <c r="R334" s="180"/>
      <c r="S334" s="180"/>
      <c r="T334" s="180"/>
      <c r="U334" s="180"/>
    </row>
    <row r="335" spans="2:21">
      <c r="B335" s="192" t="s">
        <v>99</v>
      </c>
      <c r="C335" s="193"/>
      <c r="D335" s="204" t="s">
        <v>138</v>
      </c>
      <c r="E335" s="159"/>
      <c r="F335" s="159"/>
      <c r="G335" s="159"/>
      <c r="H335" s="159"/>
      <c r="I335" s="159"/>
      <c r="J335" s="159"/>
      <c r="K335" s="159"/>
      <c r="L335" s="159"/>
      <c r="M335" s="159"/>
      <c r="N335" s="180"/>
      <c r="O335" s="180"/>
      <c r="P335" s="180"/>
      <c r="Q335" s="180"/>
      <c r="R335" s="180"/>
      <c r="S335" s="180"/>
      <c r="T335" s="180"/>
      <c r="U335" s="180"/>
    </row>
    <row r="336" spans="2:21">
      <c r="B336" s="270"/>
      <c r="C336" s="193"/>
      <c r="D336" s="204" t="s">
        <v>18</v>
      </c>
      <c r="E336" s="159"/>
      <c r="F336" s="159"/>
      <c r="G336" s="159"/>
      <c r="H336" s="159"/>
      <c r="I336" s="159"/>
      <c r="J336" s="159"/>
      <c r="K336" s="159"/>
      <c r="L336" s="159"/>
      <c r="M336" s="159"/>
      <c r="N336" s="180"/>
      <c r="O336" s="180"/>
      <c r="P336" s="180"/>
      <c r="Q336" s="180"/>
      <c r="R336" s="180"/>
      <c r="S336" s="180"/>
      <c r="T336" s="180"/>
      <c r="U336" s="180"/>
    </row>
    <row r="337" spans="2:21">
      <c r="B337" s="270"/>
      <c r="C337" s="193"/>
      <c r="D337" s="204" t="s">
        <v>19</v>
      </c>
      <c r="E337" s="159"/>
      <c r="F337" s="159"/>
      <c r="G337" s="159"/>
      <c r="H337" s="159"/>
      <c r="I337" s="159"/>
      <c r="J337" s="159"/>
      <c r="K337" s="159"/>
      <c r="L337" s="159"/>
      <c r="M337" s="159"/>
      <c r="N337" s="180"/>
      <c r="O337" s="180"/>
      <c r="P337" s="180"/>
      <c r="Q337" s="180"/>
      <c r="R337" s="180"/>
      <c r="S337" s="180"/>
      <c r="T337" s="180"/>
      <c r="U337" s="180"/>
    </row>
    <row r="338" spans="2:21">
      <c r="B338" s="270"/>
      <c r="C338" s="193"/>
      <c r="D338" s="204" t="s">
        <v>20</v>
      </c>
      <c r="E338" s="159"/>
      <c r="F338" s="159"/>
      <c r="G338" s="159"/>
      <c r="H338" s="159"/>
      <c r="I338" s="159"/>
      <c r="J338" s="159"/>
      <c r="K338" s="159"/>
      <c r="L338" s="159"/>
      <c r="M338" s="159"/>
      <c r="N338" s="180"/>
      <c r="O338" s="180"/>
      <c r="P338" s="180"/>
      <c r="Q338" s="180"/>
      <c r="R338" s="180"/>
      <c r="S338" s="180"/>
      <c r="T338" s="180"/>
      <c r="U338" s="180"/>
    </row>
    <row r="339" spans="2:21">
      <c r="B339" s="192"/>
      <c r="C339" s="193"/>
      <c r="D339" s="204" t="str">
        <f>"(ln "&amp;B174&amp;") multiplied by (1/1-T) .  If the applicable tax rates are zero enter 0."</f>
        <v>(ln 101) multiplied by (1/1-T) .  If the applicable tax rates are zero enter 0.</v>
      </c>
      <c r="H339" s="159"/>
      <c r="I339" s="159"/>
      <c r="J339" s="159"/>
      <c r="K339" s="159"/>
      <c r="L339" s="159"/>
      <c r="M339" s="159"/>
      <c r="N339" s="180"/>
      <c r="O339" s="180"/>
      <c r="P339" s="180"/>
      <c r="Q339" s="180"/>
      <c r="R339" s="180"/>
      <c r="S339" s="180"/>
      <c r="T339" s="180"/>
      <c r="U339" s="180"/>
    </row>
    <row r="340" spans="2:21">
      <c r="B340" s="411"/>
      <c r="C340" s="180"/>
      <c r="D340" s="204" t="s">
        <v>139</v>
      </c>
      <c r="E340" s="180" t="s">
        <v>140</v>
      </c>
      <c r="F340" s="148">
        <v>0.21</v>
      </c>
      <c r="G340" s="180"/>
      <c r="H340" s="159"/>
      <c r="I340" s="159"/>
      <c r="J340" s="159"/>
      <c r="K340" s="159"/>
      <c r="L340" s="159"/>
      <c r="M340" s="159"/>
      <c r="N340" s="180"/>
      <c r="O340" s="180"/>
      <c r="P340" s="180"/>
      <c r="Q340" s="180"/>
      <c r="R340" s="180"/>
      <c r="S340" s="180"/>
      <c r="T340" s="180"/>
      <c r="U340" s="180"/>
    </row>
    <row r="341" spans="2:21">
      <c r="B341" s="411"/>
      <c r="C341" s="180"/>
      <c r="D341" s="204"/>
      <c r="E341" s="180" t="s">
        <v>141</v>
      </c>
      <c r="F341" s="400">
        <f>+'WS G  State Tax Rate'!F29</f>
        <v>2.5000000000000001E-3</v>
      </c>
      <c r="G341" s="180" t="s">
        <v>293</v>
      </c>
      <c r="H341" s="159"/>
      <c r="I341" s="159"/>
      <c r="J341" s="159"/>
      <c r="K341" s="159"/>
      <c r="L341" s="159"/>
      <c r="M341" s="159"/>
      <c r="N341" s="180"/>
      <c r="O341" s="180"/>
      <c r="P341" s="180"/>
      <c r="Q341" s="180"/>
      <c r="R341" s="180"/>
      <c r="S341" s="180"/>
      <c r="T341" s="180"/>
      <c r="U341" s="180"/>
    </row>
    <row r="342" spans="2:21">
      <c r="B342" s="411"/>
      <c r="C342" s="180"/>
      <c r="D342" s="204"/>
      <c r="E342" s="180" t="s">
        <v>142</v>
      </c>
      <c r="F342" s="148">
        <v>0</v>
      </c>
      <c r="G342" s="180" t="s">
        <v>143</v>
      </c>
      <c r="H342" s="159"/>
      <c r="I342" s="159"/>
      <c r="J342" s="159"/>
      <c r="K342" s="159"/>
      <c r="L342" s="159"/>
      <c r="M342" s="159"/>
      <c r="N342" s="180"/>
      <c r="O342" s="180"/>
      <c r="P342" s="180"/>
      <c r="Q342" s="180"/>
      <c r="R342" s="180"/>
      <c r="S342" s="180"/>
      <c r="T342" s="180"/>
      <c r="U342" s="180"/>
    </row>
    <row r="343" spans="2:21" ht="46.5" customHeight="1">
      <c r="B343" s="270"/>
      <c r="C343" s="193"/>
      <c r="D343" s="1483" t="s">
        <v>598</v>
      </c>
      <c r="E343" s="1483"/>
      <c r="F343" s="1483"/>
      <c r="G343" s="1483"/>
      <c r="H343" s="1483"/>
      <c r="I343" s="1483"/>
      <c r="J343" s="1483"/>
      <c r="K343" s="159"/>
      <c r="L343" s="159"/>
      <c r="M343" s="180"/>
      <c r="N343" s="180"/>
      <c r="O343" s="180"/>
      <c r="P343" s="180"/>
      <c r="Q343" s="180"/>
      <c r="R343" s="180"/>
      <c r="S343" s="180"/>
      <c r="T343" s="180"/>
      <c r="U343" s="180"/>
    </row>
    <row r="344" spans="2:21">
      <c r="B344" s="192" t="s">
        <v>144</v>
      </c>
      <c r="C344" s="193"/>
      <c r="D344" s="204" t="s">
        <v>541</v>
      </c>
      <c r="E344" s="159"/>
      <c r="F344" s="159"/>
      <c r="G344" s="159"/>
      <c r="H344" s="159"/>
      <c r="I344" s="159"/>
      <c r="J344" s="159"/>
      <c r="K344" s="159"/>
      <c r="L344" s="159"/>
      <c r="M344" s="159"/>
      <c r="N344" s="180"/>
      <c r="O344" s="180"/>
      <c r="P344" s="180"/>
      <c r="Q344" s="180"/>
      <c r="R344" s="180"/>
      <c r="S344" s="180"/>
      <c r="T344" s="180"/>
      <c r="U344" s="180"/>
    </row>
    <row r="345" spans="2:21">
      <c r="B345" s="154"/>
      <c r="D345" s="204"/>
      <c r="E345" s="159"/>
      <c r="F345" s="159"/>
      <c r="G345" s="159"/>
      <c r="H345" s="159"/>
      <c r="I345" s="159"/>
      <c r="J345" s="159"/>
      <c r="K345" s="159"/>
      <c r="L345" s="159"/>
      <c r="M345" s="159"/>
      <c r="N345" s="180"/>
      <c r="O345" s="180"/>
      <c r="P345" s="180"/>
      <c r="Q345" s="180"/>
      <c r="R345" s="180"/>
      <c r="S345" s="180"/>
      <c r="T345" s="180"/>
      <c r="U345" s="180"/>
    </row>
    <row r="346" spans="2:21">
      <c r="B346" s="192" t="s">
        <v>145</v>
      </c>
      <c r="C346" s="193"/>
      <c r="D346" s="204" t="s">
        <v>351</v>
      </c>
      <c r="E346" s="159"/>
      <c r="F346" s="159"/>
      <c r="G346" s="159"/>
      <c r="H346" s="159"/>
      <c r="I346" s="159"/>
      <c r="J346" s="159"/>
      <c r="K346" s="159"/>
      <c r="L346" s="159"/>
      <c r="M346" s="159"/>
      <c r="N346" s="180"/>
      <c r="O346" s="180"/>
      <c r="P346" s="180"/>
      <c r="Q346" s="180"/>
      <c r="R346" s="180"/>
      <c r="S346" s="180"/>
      <c r="T346" s="180"/>
      <c r="U346" s="180"/>
    </row>
    <row r="347" spans="2:21">
      <c r="B347" s="192"/>
      <c r="C347" s="193"/>
      <c r="D347" s="204"/>
      <c r="E347" s="180"/>
      <c r="F347" s="180"/>
      <c r="G347" s="180"/>
      <c r="H347" s="180"/>
      <c r="I347" s="180"/>
      <c r="J347" s="180"/>
      <c r="K347" s="180"/>
      <c r="L347" s="180"/>
      <c r="M347" s="180"/>
      <c r="N347" s="180"/>
      <c r="O347" s="180"/>
      <c r="P347" s="180"/>
      <c r="Q347" s="180"/>
      <c r="R347" s="180"/>
      <c r="S347" s="180"/>
      <c r="T347" s="180"/>
      <c r="U347" s="180"/>
    </row>
    <row r="348" spans="2:21">
      <c r="B348" s="192" t="s">
        <v>146</v>
      </c>
      <c r="C348" s="193"/>
      <c r="D348" s="204" t="s">
        <v>613</v>
      </c>
      <c r="E348" s="180"/>
      <c r="F348" s="180"/>
      <c r="G348" s="180"/>
      <c r="H348" s="180"/>
      <c r="I348" s="180"/>
      <c r="J348" s="180"/>
      <c r="K348" s="180"/>
      <c r="L348" s="180"/>
      <c r="M348" s="180"/>
      <c r="N348" s="180"/>
      <c r="O348" s="180"/>
      <c r="P348" s="180"/>
      <c r="Q348" s="180"/>
      <c r="R348" s="180"/>
      <c r="S348" s="180"/>
      <c r="T348" s="180"/>
      <c r="U348" s="180"/>
    </row>
    <row r="349" spans="2:21">
      <c r="B349" s="192"/>
      <c r="C349" s="193"/>
      <c r="D349" s="204"/>
      <c r="E349" s="180"/>
      <c r="F349" s="180"/>
      <c r="G349" s="180"/>
      <c r="H349" s="180"/>
      <c r="I349" s="180"/>
      <c r="J349" s="180"/>
      <c r="K349" s="180"/>
      <c r="L349" s="180"/>
      <c r="M349" s="180"/>
      <c r="N349" s="180"/>
      <c r="O349" s="180"/>
      <c r="P349" s="180"/>
      <c r="Q349" s="180"/>
      <c r="R349" s="180"/>
      <c r="S349" s="180"/>
      <c r="T349" s="180"/>
      <c r="U349" s="180"/>
    </row>
    <row r="350" spans="2:21" ht="15.75" customHeight="1">
      <c r="B350" s="412" t="s">
        <v>147</v>
      </c>
      <c r="C350" s="413"/>
      <c r="D350" s="1462" t="s">
        <v>1007</v>
      </c>
      <c r="E350" s="1462"/>
      <c r="F350" s="1462"/>
      <c r="G350" s="1462"/>
      <c r="H350" s="1462"/>
      <c r="I350" s="1462"/>
      <c r="J350" s="1462"/>
      <c r="M350" s="172"/>
      <c r="N350" s="172"/>
      <c r="O350" s="180"/>
      <c r="P350" s="180"/>
      <c r="Q350" s="180"/>
      <c r="R350" s="180"/>
      <c r="S350" s="180"/>
      <c r="T350" s="180"/>
      <c r="U350" s="180"/>
    </row>
    <row r="351" spans="2:21" ht="15.75" customHeight="1">
      <c r="B351" s="413"/>
      <c r="C351" s="413"/>
      <c r="D351" s="1462" t="s">
        <v>1008</v>
      </c>
      <c r="E351" s="1462"/>
      <c r="F351" s="1462"/>
      <c r="G351" s="1462"/>
      <c r="H351" s="1462"/>
      <c r="I351" s="1462"/>
      <c r="J351" s="1462"/>
      <c r="M351" s="172"/>
      <c r="N351" s="172"/>
      <c r="O351" s="180"/>
      <c r="P351" s="180"/>
      <c r="Q351" s="180"/>
      <c r="R351" s="180"/>
      <c r="S351" s="180"/>
      <c r="T351" s="180"/>
      <c r="U351" s="180"/>
    </row>
    <row r="352" spans="2:21" ht="15.75">
      <c r="B352" s="413"/>
      <c r="C352" s="413"/>
      <c r="D352" s="1462"/>
      <c r="E352" s="1462"/>
      <c r="F352" s="1462"/>
      <c r="G352" s="1462"/>
      <c r="H352" s="1462"/>
      <c r="I352" s="1462"/>
      <c r="J352" s="1462"/>
      <c r="M352" s="172"/>
      <c r="N352" s="172"/>
      <c r="O352" s="180"/>
      <c r="P352" s="180"/>
      <c r="Q352" s="180"/>
      <c r="R352" s="180"/>
      <c r="S352" s="180"/>
      <c r="T352" s="180"/>
      <c r="U352" s="180"/>
    </row>
    <row r="353" spans="2:21" ht="95.25" customHeight="1">
      <c r="B353" s="413"/>
      <c r="C353" s="413"/>
      <c r="D353" s="1462"/>
      <c r="E353" s="1462"/>
      <c r="F353" s="1462"/>
      <c r="G353" s="1462"/>
      <c r="H353" s="1462"/>
      <c r="I353" s="1462"/>
      <c r="J353" s="1462"/>
      <c r="M353" s="172"/>
      <c r="N353" s="172"/>
      <c r="O353" s="180"/>
      <c r="P353" s="180"/>
      <c r="Q353" s="180"/>
      <c r="R353" s="180"/>
      <c r="S353" s="180"/>
      <c r="T353" s="180"/>
      <c r="U353" s="180"/>
    </row>
    <row r="354" spans="2:21" ht="0.75" hidden="1" customHeight="1">
      <c r="B354" s="413"/>
      <c r="C354" s="413"/>
      <c r="D354" s="1252"/>
      <c r="E354" s="1252"/>
      <c r="F354" s="1252"/>
      <c r="G354" s="1252"/>
      <c r="H354" s="1252"/>
      <c r="I354" s="1252"/>
      <c r="J354" s="1252"/>
      <c r="M354" s="172"/>
      <c r="N354" s="172"/>
      <c r="O354" s="180"/>
      <c r="P354" s="180"/>
      <c r="Q354" s="180"/>
      <c r="R354" s="180"/>
      <c r="S354" s="180"/>
      <c r="T354" s="180"/>
      <c r="U354" s="180"/>
    </row>
    <row r="355" spans="2:21" ht="54.75" hidden="1" customHeight="1">
      <c r="B355" s="413"/>
      <c r="C355" s="413"/>
      <c r="D355" s="1252"/>
      <c r="E355" s="1252"/>
      <c r="F355" s="1252"/>
      <c r="G355" s="1252"/>
      <c r="H355" s="1252"/>
      <c r="I355" s="1252"/>
      <c r="J355" s="1252"/>
      <c r="M355" s="172"/>
      <c r="N355" s="172"/>
      <c r="O355" s="180"/>
      <c r="P355" s="180"/>
      <c r="Q355" s="180"/>
      <c r="R355" s="180"/>
      <c r="S355" s="180"/>
      <c r="T355" s="180"/>
      <c r="U355" s="180"/>
    </row>
    <row r="356" spans="2:21" ht="16.5" customHeight="1">
      <c r="B356" s="413"/>
      <c r="C356" s="413"/>
      <c r="D356" s="1252"/>
      <c r="E356" s="1252"/>
      <c r="F356" s="1252"/>
      <c r="G356" s="1252"/>
      <c r="H356" s="1252"/>
      <c r="I356" s="1252"/>
      <c r="J356" s="1252"/>
      <c r="M356" s="172"/>
      <c r="N356" s="172"/>
      <c r="O356" s="180"/>
      <c r="P356" s="180"/>
      <c r="Q356" s="180"/>
      <c r="R356" s="180"/>
      <c r="S356" s="180"/>
      <c r="T356" s="180"/>
      <c r="U356" s="180"/>
    </row>
    <row r="357" spans="2:21" ht="98.25" customHeight="1">
      <c r="B357" s="192" t="s">
        <v>193</v>
      </c>
      <c r="C357" s="413"/>
      <c r="D357" s="1472" t="s">
        <v>760</v>
      </c>
      <c r="E357" s="1473"/>
      <c r="F357" s="1473"/>
      <c r="G357" s="1473"/>
      <c r="H357" s="1473"/>
      <c r="I357" s="1473"/>
      <c r="J357" s="1473"/>
      <c r="M357" s="180"/>
      <c r="N357" s="180"/>
      <c r="O357" s="180"/>
      <c r="P357" s="180"/>
      <c r="Q357" s="180"/>
      <c r="R357" s="180"/>
      <c r="S357" s="180"/>
      <c r="T357" s="180"/>
      <c r="U357" s="180"/>
    </row>
    <row r="358" spans="2:21" ht="15.75">
      <c r="B358" s="192"/>
      <c r="C358" s="413"/>
      <c r="D358" s="414"/>
      <c r="E358" s="415"/>
      <c r="F358" s="415"/>
      <c r="G358" s="415"/>
      <c r="H358" s="415"/>
      <c r="I358" s="415"/>
      <c r="J358" s="415"/>
      <c r="M358" s="180"/>
      <c r="N358" s="180"/>
      <c r="O358" s="180"/>
      <c r="P358" s="180"/>
      <c r="Q358" s="180"/>
      <c r="R358" s="180"/>
      <c r="S358" s="180"/>
      <c r="T358" s="180"/>
      <c r="U358" s="180"/>
    </row>
    <row r="359" spans="2:21">
      <c r="B359" s="192" t="s">
        <v>553</v>
      </c>
      <c r="C359" s="416"/>
      <c r="D359" s="1471" t="s">
        <v>599</v>
      </c>
      <c r="E359" s="1471"/>
      <c r="F359" s="1471"/>
      <c r="G359" s="1471"/>
      <c r="H359" s="1471"/>
      <c r="I359" s="1471"/>
      <c r="J359" s="1471"/>
      <c r="K359" s="417"/>
      <c r="M359" s="180"/>
      <c r="N359" s="180"/>
      <c r="O359" s="180"/>
      <c r="P359" s="180"/>
      <c r="Q359" s="180"/>
      <c r="R359" s="180"/>
      <c r="S359" s="180"/>
      <c r="T359" s="180"/>
      <c r="U359" s="180"/>
    </row>
    <row r="360" spans="2:21">
      <c r="B360" s="192"/>
      <c r="C360" s="193"/>
      <c r="D360" s="154" t="s">
        <v>408</v>
      </c>
      <c r="M360" s="180"/>
      <c r="N360" s="180"/>
      <c r="O360" s="180"/>
      <c r="P360" s="180"/>
      <c r="Q360" s="180"/>
      <c r="R360" s="180"/>
      <c r="S360" s="180"/>
      <c r="T360" s="180"/>
      <c r="U360" s="180"/>
    </row>
    <row r="361" spans="2:21">
      <c r="B361" s="192" t="s">
        <v>600</v>
      </c>
      <c r="C361" s="193"/>
      <c r="D361" s="154" t="s">
        <v>601</v>
      </c>
      <c r="M361" s="180"/>
      <c r="N361" s="180"/>
      <c r="O361" s="180"/>
      <c r="P361" s="180"/>
      <c r="Q361" s="180"/>
      <c r="R361" s="180"/>
      <c r="S361" s="180"/>
      <c r="T361" s="180"/>
      <c r="U361" s="180"/>
    </row>
    <row r="362" spans="2:21">
      <c r="B362" s="192"/>
      <c r="C362" s="193"/>
      <c r="M362" s="180"/>
      <c r="N362" s="180"/>
      <c r="O362" s="180"/>
      <c r="P362" s="180"/>
      <c r="Q362" s="180"/>
      <c r="R362" s="180"/>
      <c r="S362" s="180"/>
      <c r="T362" s="180"/>
      <c r="U362" s="180"/>
    </row>
    <row r="363" spans="2:21" ht="30" customHeight="1">
      <c r="B363" s="192" t="s">
        <v>602</v>
      </c>
      <c r="C363" s="193"/>
      <c r="D363" s="1471" t="s">
        <v>603</v>
      </c>
      <c r="E363" s="1471"/>
      <c r="F363" s="1471"/>
      <c r="G363" s="1471"/>
      <c r="H363" s="1471"/>
      <c r="I363" s="1471"/>
      <c r="J363" s="1471"/>
      <c r="K363" s="1471"/>
      <c r="M363" s="180"/>
      <c r="N363" s="180"/>
      <c r="O363" s="180"/>
      <c r="P363" s="180"/>
      <c r="Q363" s="180"/>
      <c r="R363" s="180"/>
      <c r="S363" s="180"/>
      <c r="T363" s="180"/>
      <c r="U363" s="180"/>
    </row>
    <row r="364" spans="2:21">
      <c r="B364" s="172"/>
      <c r="C364" s="172"/>
      <c r="D364" s="172"/>
      <c r="E364" s="172"/>
      <c r="F364" s="172"/>
      <c r="G364" s="172"/>
      <c r="H364" s="172"/>
      <c r="M364" s="180"/>
      <c r="N364" s="180"/>
      <c r="O364" s="180"/>
      <c r="P364" s="180"/>
      <c r="Q364" s="180"/>
      <c r="R364" s="180"/>
      <c r="S364" s="180"/>
      <c r="T364" s="180"/>
      <c r="U364" s="180"/>
    </row>
    <row r="365" spans="2:21" ht="46.5" customHeight="1">
      <c r="B365" s="272" t="s">
        <v>604</v>
      </c>
      <c r="C365" s="172"/>
      <c r="D365" s="1471" t="s">
        <v>608</v>
      </c>
      <c r="E365" s="1471"/>
      <c r="F365" s="1471"/>
      <c r="G365" s="1471"/>
      <c r="H365" s="1471"/>
      <c r="I365" s="1471"/>
      <c r="J365" s="1471"/>
      <c r="K365" s="1471"/>
      <c r="M365" s="180"/>
      <c r="N365" s="180"/>
      <c r="O365" s="180"/>
      <c r="P365" s="180"/>
      <c r="Q365" s="180"/>
      <c r="R365" s="180"/>
      <c r="S365" s="180"/>
      <c r="T365" s="180"/>
      <c r="U365" s="180"/>
    </row>
    <row r="366" spans="2:21">
      <c r="B366" s="1220" t="s">
        <v>635</v>
      </c>
      <c r="C366" s="1221"/>
      <c r="D366" s="1222" t="s">
        <v>636</v>
      </c>
      <c r="E366" s="1223"/>
      <c r="F366" s="1223"/>
      <c r="G366" s="1223"/>
      <c r="H366" s="1008"/>
      <c r="M366" s="180"/>
      <c r="N366" s="180"/>
      <c r="O366" s="180"/>
      <c r="P366" s="180"/>
      <c r="Q366" s="180"/>
      <c r="R366" s="180"/>
      <c r="S366" s="180"/>
      <c r="T366" s="180"/>
      <c r="U366" s="180"/>
    </row>
    <row r="367" spans="2:21">
      <c r="B367" s="192" t="s">
        <v>840</v>
      </c>
      <c r="C367" s="193"/>
      <c r="D367" s="1470" t="s">
        <v>841</v>
      </c>
      <c r="E367" s="1470"/>
      <c r="F367" s="1470"/>
      <c r="G367" s="1470"/>
      <c r="H367" s="1470"/>
      <c r="I367" s="1470"/>
      <c r="J367" s="1470"/>
      <c r="K367" s="1470"/>
      <c r="M367" s="180"/>
      <c r="N367" s="180"/>
      <c r="O367" s="180"/>
      <c r="P367" s="180"/>
      <c r="Q367" s="180"/>
      <c r="R367" s="180"/>
      <c r="S367" s="180"/>
      <c r="T367" s="180"/>
      <c r="U367" s="180"/>
    </row>
    <row r="368" spans="2:21">
      <c r="B368" s="154"/>
      <c r="D368" s="1470"/>
      <c r="E368" s="1470"/>
      <c r="F368" s="1470"/>
      <c r="G368" s="1470"/>
      <c r="H368" s="1470"/>
      <c r="I368" s="1470"/>
      <c r="J368" s="1470"/>
      <c r="K368" s="1470"/>
      <c r="M368" s="180"/>
      <c r="N368" s="180"/>
      <c r="O368" s="180"/>
      <c r="P368" s="180"/>
      <c r="Q368" s="180"/>
      <c r="R368" s="180"/>
      <c r="S368" s="180"/>
      <c r="T368" s="180"/>
      <c r="U368" s="180"/>
    </row>
    <row r="369" spans="2:21">
      <c r="B369" s="154"/>
      <c r="M369" s="180"/>
      <c r="N369" s="180"/>
      <c r="O369" s="180"/>
      <c r="P369" s="180"/>
      <c r="Q369" s="180"/>
      <c r="R369" s="180"/>
      <c r="S369" s="180"/>
      <c r="T369" s="180"/>
      <c r="U369" s="180"/>
    </row>
    <row r="370" spans="2:21">
      <c r="B370" s="154"/>
      <c r="M370" s="180"/>
      <c r="N370" s="180"/>
      <c r="O370" s="180"/>
      <c r="P370" s="180"/>
      <c r="Q370" s="180"/>
      <c r="R370" s="180"/>
      <c r="S370" s="180"/>
      <c r="T370" s="180"/>
      <c r="U370" s="180"/>
    </row>
    <row r="371" spans="2:21">
      <c r="B371" s="154"/>
      <c r="H371" s="180"/>
      <c r="I371" s="180"/>
      <c r="J371" s="180"/>
      <c r="K371" s="180"/>
      <c r="L371" s="180"/>
      <c r="M371" s="180"/>
      <c r="N371" s="180"/>
      <c r="O371" s="180"/>
      <c r="P371" s="180"/>
      <c r="Q371" s="180"/>
      <c r="R371" s="180"/>
      <c r="S371" s="180"/>
      <c r="T371" s="180"/>
      <c r="U371" s="180"/>
    </row>
    <row r="372" spans="2:21">
      <c r="B372" s="154"/>
      <c r="H372" s="180"/>
      <c r="K372" s="180"/>
      <c r="L372" s="180"/>
      <c r="M372" s="180"/>
      <c r="N372" s="180"/>
      <c r="O372" s="180"/>
      <c r="P372" s="180"/>
      <c r="Q372" s="180"/>
      <c r="R372" s="180"/>
      <c r="S372" s="180"/>
      <c r="T372" s="180"/>
      <c r="U372" s="180"/>
    </row>
    <row r="373" spans="2:21">
      <c r="B373" s="399"/>
      <c r="C373" s="159"/>
      <c r="D373" s="159"/>
      <c r="E373" s="159"/>
      <c r="F373" s="159"/>
      <c r="G373" s="159"/>
      <c r="H373" s="159"/>
      <c r="I373" s="159"/>
      <c r="J373" s="159"/>
      <c r="K373" s="159"/>
      <c r="L373" s="159"/>
      <c r="M373" s="159"/>
    </row>
    <row r="374" spans="2:21">
      <c r="B374" s="399"/>
      <c r="C374" s="159"/>
      <c r="D374" s="159"/>
      <c r="E374" s="159"/>
      <c r="F374" s="159"/>
      <c r="G374" s="159"/>
      <c r="H374" s="159"/>
      <c r="I374" s="159"/>
      <c r="J374" s="159"/>
      <c r="K374" s="159"/>
      <c r="L374" s="159"/>
      <c r="M374" s="159"/>
    </row>
    <row r="375" spans="2:21">
      <c r="B375" s="399"/>
      <c r="C375" s="159"/>
      <c r="D375" s="159"/>
      <c r="E375" s="159"/>
      <c r="F375" s="159"/>
      <c r="G375" s="159"/>
      <c r="H375" s="159"/>
      <c r="I375" s="159"/>
      <c r="J375" s="159"/>
      <c r="K375" s="159"/>
      <c r="L375" s="159"/>
      <c r="M375" s="159"/>
    </row>
    <row r="376" spans="2:21">
      <c r="B376" s="399"/>
      <c r="C376" s="159"/>
      <c r="D376" s="159"/>
      <c r="E376" s="159"/>
      <c r="F376" s="159"/>
      <c r="G376" s="159"/>
      <c r="H376" s="159"/>
      <c r="I376" s="159"/>
      <c r="J376" s="159"/>
      <c r="K376" s="159"/>
      <c r="L376" s="159"/>
      <c r="M376" s="159"/>
    </row>
    <row r="377" spans="2:21">
      <c r="B377" s="399"/>
      <c r="C377" s="159"/>
      <c r="D377" s="159"/>
      <c r="E377" s="159"/>
      <c r="F377" s="159"/>
      <c r="G377" s="159"/>
      <c r="H377" s="159"/>
      <c r="I377" s="159"/>
      <c r="J377" s="159"/>
      <c r="K377" s="159"/>
      <c r="L377" s="159"/>
      <c r="M377" s="159"/>
    </row>
    <row r="378" spans="2:21">
      <c r="B378" s="399"/>
      <c r="C378" s="159"/>
      <c r="D378" s="159"/>
      <c r="E378" s="159"/>
      <c r="F378" s="159"/>
      <c r="G378" s="159"/>
      <c r="H378" s="159"/>
      <c r="I378" s="159"/>
      <c r="J378" s="159"/>
      <c r="K378" s="159"/>
      <c r="L378" s="159"/>
      <c r="M378" s="159"/>
    </row>
    <row r="379" spans="2:21">
      <c r="B379" s="399"/>
      <c r="C379" s="159"/>
      <c r="D379" s="159"/>
      <c r="E379" s="159"/>
      <c r="F379" s="159"/>
      <c r="G379" s="159"/>
      <c r="H379" s="159"/>
      <c r="I379" s="159"/>
      <c r="J379" s="159"/>
      <c r="K379" s="159"/>
      <c r="L379" s="159"/>
      <c r="M379" s="159"/>
    </row>
    <row r="380" spans="2:21">
      <c r="B380" s="399"/>
      <c r="C380" s="159"/>
      <c r="D380" s="159"/>
      <c r="E380" s="159"/>
      <c r="F380" s="159"/>
      <c r="G380" s="159"/>
      <c r="H380" s="159"/>
      <c r="I380" s="159"/>
      <c r="J380" s="159"/>
      <c r="K380" s="159"/>
      <c r="L380" s="159"/>
      <c r="M380" s="159"/>
    </row>
    <row r="381" spans="2:21">
      <c r="B381" s="399"/>
      <c r="C381" s="159"/>
      <c r="D381" s="159"/>
      <c r="E381" s="159"/>
      <c r="F381" s="159"/>
      <c r="G381" s="159"/>
      <c r="H381" s="159"/>
      <c r="I381" s="159"/>
      <c r="J381" s="159"/>
      <c r="K381" s="159"/>
      <c r="L381" s="159"/>
      <c r="M381" s="159"/>
    </row>
    <row r="382" spans="2:21">
      <c r="B382" s="399"/>
      <c r="C382" s="159"/>
      <c r="D382" s="159"/>
      <c r="E382" s="159"/>
      <c r="F382" s="159"/>
      <c r="G382" s="159"/>
      <c r="H382" s="159"/>
      <c r="I382" s="159"/>
      <c r="J382" s="159"/>
      <c r="K382" s="159"/>
      <c r="L382" s="159"/>
      <c r="M382" s="159"/>
    </row>
    <row r="383" spans="2:21">
      <c r="B383" s="399"/>
      <c r="C383" s="159"/>
      <c r="D383" s="159"/>
      <c r="E383" s="159"/>
      <c r="F383" s="159"/>
      <c r="G383" s="159"/>
      <c r="H383" s="159"/>
      <c r="I383" s="159"/>
      <c r="J383" s="159"/>
      <c r="K383" s="159"/>
      <c r="L383" s="159"/>
      <c r="M383" s="159"/>
    </row>
    <row r="384" spans="2:21">
      <c r="B384" s="399"/>
      <c r="C384" s="159"/>
      <c r="D384" s="159"/>
      <c r="E384" s="159"/>
      <c r="F384" s="159"/>
      <c r="G384" s="159"/>
      <c r="H384" s="159"/>
      <c r="I384" s="159"/>
      <c r="J384" s="159"/>
      <c r="K384" s="159"/>
      <c r="L384" s="159"/>
      <c r="M384" s="159"/>
    </row>
    <row r="385" spans="2:13">
      <c r="B385" s="399"/>
      <c r="C385" s="159"/>
      <c r="D385" s="159"/>
      <c r="E385" s="159"/>
      <c r="F385" s="159"/>
      <c r="G385" s="159"/>
      <c r="H385" s="159"/>
      <c r="I385" s="159"/>
      <c r="J385" s="159"/>
      <c r="K385" s="159"/>
      <c r="L385" s="159"/>
      <c r="M385" s="159"/>
    </row>
    <row r="386" spans="2:13">
      <c r="B386" s="399"/>
      <c r="C386" s="159"/>
      <c r="D386" s="159"/>
      <c r="E386" s="159"/>
      <c r="F386" s="159"/>
      <c r="G386" s="159"/>
      <c r="H386" s="159"/>
      <c r="I386" s="159"/>
      <c r="J386" s="159"/>
      <c r="K386" s="159"/>
      <c r="L386" s="159"/>
      <c r="M386" s="159"/>
    </row>
    <row r="387" spans="2:13">
      <c r="B387" s="399"/>
      <c r="C387" s="159"/>
      <c r="D387" s="159"/>
      <c r="E387" s="159"/>
      <c r="F387" s="159"/>
      <c r="G387" s="159"/>
      <c r="H387" s="159"/>
      <c r="I387" s="159"/>
      <c r="J387" s="159"/>
      <c r="K387" s="159"/>
      <c r="L387" s="159"/>
      <c r="M387" s="159"/>
    </row>
    <row r="388" spans="2:13">
      <c r="B388" s="399"/>
      <c r="C388" s="159"/>
      <c r="D388" s="159"/>
      <c r="E388" s="159"/>
      <c r="F388" s="159"/>
      <c r="G388" s="159"/>
      <c r="H388" s="159"/>
      <c r="I388" s="159"/>
      <c r="J388" s="159"/>
      <c r="K388" s="159"/>
      <c r="L388" s="159"/>
      <c r="M388" s="159"/>
    </row>
    <row r="389" spans="2:13">
      <c r="B389" s="399"/>
      <c r="C389" s="159"/>
      <c r="D389" s="159"/>
      <c r="E389" s="159"/>
      <c r="F389" s="159"/>
      <c r="G389" s="159"/>
      <c r="H389" s="159"/>
      <c r="I389" s="159"/>
      <c r="J389" s="159"/>
      <c r="K389" s="159"/>
      <c r="L389" s="159"/>
      <c r="M389" s="159"/>
    </row>
    <row r="390" spans="2:13">
      <c r="B390" s="399"/>
      <c r="C390" s="159"/>
      <c r="D390" s="159"/>
      <c r="E390" s="159"/>
      <c r="F390" s="159"/>
      <c r="G390" s="159"/>
      <c r="H390" s="159"/>
      <c r="I390" s="159"/>
      <c r="J390" s="159"/>
      <c r="K390" s="159"/>
      <c r="L390" s="159"/>
      <c r="M390" s="159"/>
    </row>
    <row r="391" spans="2:13">
      <c r="B391" s="399"/>
      <c r="C391" s="159"/>
      <c r="D391" s="159"/>
      <c r="E391" s="159"/>
      <c r="F391" s="159"/>
      <c r="G391" s="159"/>
      <c r="H391" s="159"/>
      <c r="I391" s="159"/>
      <c r="J391" s="159"/>
      <c r="K391" s="159"/>
      <c r="L391" s="159"/>
      <c r="M391" s="159"/>
    </row>
    <row r="392" spans="2:13">
      <c r="B392" s="399"/>
      <c r="C392" s="159"/>
      <c r="D392" s="159"/>
      <c r="E392" s="159"/>
      <c r="F392" s="159"/>
      <c r="G392" s="159"/>
      <c r="H392" s="159"/>
      <c r="I392" s="159"/>
      <c r="J392" s="159"/>
      <c r="K392" s="159"/>
      <c r="L392" s="159"/>
      <c r="M392" s="159"/>
    </row>
    <row r="393" spans="2:13">
      <c r="B393" s="399"/>
      <c r="C393" s="159"/>
      <c r="D393" s="159"/>
      <c r="E393" s="159"/>
      <c r="F393" s="159"/>
      <c r="G393" s="159"/>
      <c r="H393" s="159"/>
      <c r="I393" s="159"/>
      <c r="J393" s="159"/>
      <c r="K393" s="159"/>
      <c r="L393" s="159"/>
      <c r="M393" s="159"/>
    </row>
    <row r="394" spans="2:13">
      <c r="B394" s="399"/>
      <c r="C394" s="159"/>
      <c r="D394" s="159"/>
      <c r="E394" s="159"/>
      <c r="F394" s="159"/>
      <c r="G394" s="159"/>
      <c r="H394" s="159"/>
      <c r="I394" s="159"/>
      <c r="J394" s="159"/>
      <c r="K394" s="159"/>
      <c r="L394" s="159"/>
      <c r="M394" s="159"/>
    </row>
    <row r="395" spans="2:13">
      <c r="B395" s="399"/>
      <c r="C395" s="159"/>
      <c r="D395" s="159"/>
      <c r="E395" s="159"/>
      <c r="F395" s="159"/>
      <c r="G395" s="159"/>
      <c r="H395" s="159"/>
      <c r="I395" s="159"/>
      <c r="J395" s="159"/>
      <c r="K395" s="159"/>
      <c r="L395" s="159"/>
      <c r="M395" s="159"/>
    </row>
    <row r="396" spans="2:13">
      <c r="B396" s="399"/>
      <c r="C396" s="159"/>
      <c r="D396" s="159"/>
      <c r="E396" s="159"/>
      <c r="F396" s="159"/>
      <c r="G396" s="159"/>
      <c r="H396" s="159"/>
      <c r="I396" s="159"/>
      <c r="J396" s="159"/>
      <c r="K396" s="159"/>
      <c r="L396" s="159"/>
      <c r="M396" s="159"/>
    </row>
    <row r="397" spans="2:13">
      <c r="B397" s="399"/>
      <c r="C397" s="159"/>
      <c r="D397" s="159"/>
      <c r="E397" s="159"/>
      <c r="F397" s="159"/>
      <c r="G397" s="159"/>
      <c r="H397" s="159"/>
      <c r="I397" s="159"/>
      <c r="J397" s="159"/>
      <c r="K397" s="159"/>
      <c r="L397" s="159"/>
      <c r="M397" s="159"/>
    </row>
    <row r="398" spans="2:13">
      <c r="B398" s="399"/>
      <c r="C398" s="159"/>
      <c r="D398" s="159"/>
      <c r="E398" s="159"/>
      <c r="F398" s="159"/>
      <c r="G398" s="159"/>
      <c r="H398" s="159"/>
      <c r="I398" s="159"/>
      <c r="J398" s="159"/>
      <c r="K398" s="159"/>
      <c r="L398" s="159"/>
      <c r="M398" s="159"/>
    </row>
    <row r="399" spans="2:13">
      <c r="B399" s="399"/>
      <c r="C399" s="159"/>
      <c r="D399" s="159"/>
      <c r="E399" s="159"/>
      <c r="F399" s="159"/>
      <c r="G399" s="159"/>
      <c r="H399" s="159"/>
      <c r="I399" s="159"/>
      <c r="J399" s="159"/>
      <c r="K399" s="159"/>
      <c r="L399" s="159"/>
      <c r="M399" s="159"/>
    </row>
    <row r="400" spans="2:13">
      <c r="B400" s="399"/>
      <c r="C400" s="159"/>
      <c r="D400" s="159"/>
      <c r="E400" s="159"/>
      <c r="F400" s="159"/>
      <c r="G400" s="159"/>
      <c r="H400" s="159"/>
      <c r="I400" s="159"/>
      <c r="J400" s="159"/>
      <c r="K400" s="159"/>
      <c r="L400" s="159"/>
      <c r="M400" s="159"/>
    </row>
    <row r="401" spans="2:13">
      <c r="B401" s="399"/>
      <c r="C401" s="159"/>
      <c r="D401" s="159"/>
      <c r="E401" s="159"/>
      <c r="F401" s="159"/>
      <c r="G401" s="159"/>
      <c r="H401" s="159"/>
      <c r="I401" s="159"/>
      <c r="J401" s="159"/>
      <c r="K401" s="159"/>
      <c r="L401" s="159"/>
      <c r="M401" s="159"/>
    </row>
    <row r="402" spans="2:13">
      <c r="B402" s="399"/>
      <c r="C402" s="159"/>
      <c r="D402" s="159"/>
      <c r="E402" s="159"/>
      <c r="F402" s="159"/>
      <c r="G402" s="159"/>
      <c r="H402" s="159"/>
      <c r="I402" s="159"/>
      <c r="J402" s="159"/>
      <c r="K402" s="159"/>
      <c r="L402" s="159"/>
      <c r="M402" s="159"/>
    </row>
    <row r="403" spans="2:13">
      <c r="B403" s="399"/>
      <c r="C403" s="159"/>
      <c r="D403" s="159"/>
      <c r="E403" s="159"/>
      <c r="F403" s="159"/>
      <c r="G403" s="159"/>
      <c r="H403" s="159"/>
      <c r="I403" s="159"/>
      <c r="J403" s="159"/>
      <c r="K403" s="159"/>
      <c r="L403" s="159"/>
      <c r="M403" s="159"/>
    </row>
    <row r="404" spans="2:13">
      <c r="B404" s="399"/>
      <c r="C404" s="159"/>
      <c r="D404" s="159"/>
      <c r="E404" s="159"/>
      <c r="F404" s="159"/>
      <c r="G404" s="159"/>
      <c r="H404" s="159"/>
      <c r="I404" s="159"/>
      <c r="J404" s="159"/>
      <c r="K404" s="159"/>
      <c r="L404" s="159"/>
      <c r="M404" s="159"/>
    </row>
    <row r="405" spans="2:13">
      <c r="B405" s="399"/>
      <c r="C405" s="159"/>
      <c r="D405" s="159"/>
      <c r="E405" s="159"/>
      <c r="F405" s="159"/>
      <c r="G405" s="159"/>
      <c r="H405" s="159"/>
      <c r="I405" s="159"/>
      <c r="J405" s="159"/>
      <c r="K405" s="159"/>
      <c r="L405" s="159"/>
      <c r="M405" s="159"/>
    </row>
    <row r="406" spans="2:13">
      <c r="B406" s="399"/>
      <c r="C406" s="159"/>
      <c r="D406" s="159"/>
      <c r="E406" s="159"/>
      <c r="F406" s="159"/>
      <c r="G406" s="159"/>
      <c r="H406" s="159"/>
      <c r="I406" s="159"/>
      <c r="J406" s="159"/>
      <c r="K406" s="159"/>
      <c r="L406" s="159"/>
      <c r="M406" s="159"/>
    </row>
    <row r="407" spans="2:13">
      <c r="B407" s="399"/>
      <c r="C407" s="159"/>
      <c r="D407" s="159"/>
      <c r="E407" s="159"/>
      <c r="F407" s="159"/>
      <c r="G407" s="159"/>
      <c r="H407" s="159"/>
      <c r="I407" s="159"/>
      <c r="J407" s="159"/>
      <c r="K407" s="159"/>
      <c r="L407" s="159"/>
      <c r="M407" s="159"/>
    </row>
    <row r="408" spans="2:13">
      <c r="B408" s="399"/>
      <c r="C408" s="159"/>
      <c r="D408" s="159"/>
      <c r="E408" s="159"/>
      <c r="F408" s="159"/>
      <c r="G408" s="159"/>
      <c r="H408" s="159"/>
      <c r="I408" s="159"/>
      <c r="J408" s="159"/>
      <c r="K408" s="159"/>
      <c r="L408" s="159"/>
      <c r="M408" s="159"/>
    </row>
    <row r="409" spans="2:13">
      <c r="B409" s="399"/>
      <c r="C409" s="159"/>
      <c r="D409" s="159"/>
      <c r="E409" s="159"/>
      <c r="F409" s="159"/>
      <c r="G409" s="159"/>
      <c r="H409" s="159"/>
      <c r="I409" s="159"/>
      <c r="J409" s="159"/>
      <c r="K409" s="159"/>
      <c r="L409" s="159"/>
      <c r="M409" s="159"/>
    </row>
    <row r="410" spans="2:13">
      <c r="B410" s="399"/>
      <c r="C410" s="159"/>
      <c r="D410" s="159"/>
      <c r="E410" s="159"/>
      <c r="F410" s="159"/>
      <c r="G410" s="159"/>
      <c r="H410" s="159"/>
      <c r="I410" s="159"/>
      <c r="J410" s="159"/>
      <c r="K410" s="159"/>
      <c r="L410" s="159"/>
      <c r="M410" s="159"/>
    </row>
    <row r="411" spans="2:13">
      <c r="B411" s="399"/>
      <c r="C411" s="159"/>
      <c r="D411" s="159"/>
      <c r="E411" s="159"/>
      <c r="F411" s="159"/>
      <c r="G411" s="159"/>
      <c r="H411" s="159"/>
      <c r="I411" s="159"/>
      <c r="J411" s="159"/>
      <c r="K411" s="159"/>
      <c r="L411" s="159"/>
      <c r="M411" s="159"/>
    </row>
    <row r="412" spans="2:13">
      <c r="B412" s="399"/>
      <c r="C412" s="159"/>
      <c r="D412" s="159"/>
      <c r="E412" s="159"/>
      <c r="F412" s="159"/>
      <c r="G412" s="159"/>
      <c r="H412" s="159"/>
      <c r="I412" s="159"/>
      <c r="J412" s="159"/>
      <c r="K412" s="159"/>
      <c r="L412" s="159"/>
      <c r="M412" s="159"/>
    </row>
    <row r="413" spans="2:13">
      <c r="B413" s="399"/>
      <c r="C413" s="159"/>
      <c r="D413" s="159"/>
      <c r="E413" s="159"/>
      <c r="F413" s="159"/>
      <c r="G413" s="159"/>
      <c r="H413" s="159"/>
      <c r="I413" s="159"/>
      <c r="J413" s="159"/>
      <c r="K413" s="159"/>
      <c r="L413" s="159"/>
      <c r="M413" s="159"/>
    </row>
    <row r="414" spans="2:13">
      <c r="B414" s="399"/>
      <c r="C414" s="159"/>
      <c r="D414" s="159"/>
      <c r="E414" s="159"/>
      <c r="F414" s="159"/>
      <c r="G414" s="159"/>
      <c r="H414" s="159"/>
      <c r="I414" s="159"/>
      <c r="J414" s="159"/>
      <c r="K414" s="159"/>
      <c r="L414" s="159"/>
      <c r="M414" s="159"/>
    </row>
    <row r="415" spans="2:13">
      <c r="B415" s="399"/>
      <c r="C415" s="159"/>
      <c r="D415" s="159"/>
      <c r="E415" s="159"/>
      <c r="F415" s="159"/>
      <c r="G415" s="159"/>
      <c r="H415" s="159"/>
      <c r="I415" s="159"/>
      <c r="J415" s="159"/>
      <c r="K415" s="159"/>
      <c r="L415" s="159"/>
      <c r="M415" s="159"/>
    </row>
    <row r="416" spans="2:13">
      <c r="B416" s="399"/>
      <c r="C416" s="159"/>
      <c r="D416" s="159"/>
      <c r="E416" s="159"/>
      <c r="F416" s="159"/>
      <c r="G416" s="159"/>
      <c r="H416" s="159"/>
      <c r="I416" s="159"/>
      <c r="J416" s="159"/>
      <c r="K416" s="159"/>
      <c r="L416" s="159"/>
      <c r="M416" s="159"/>
    </row>
    <row r="417" spans="2:13">
      <c r="B417" s="399"/>
      <c r="C417" s="159"/>
      <c r="D417" s="159"/>
      <c r="E417" s="159"/>
      <c r="F417" s="159"/>
      <c r="G417" s="159"/>
      <c r="H417" s="159"/>
      <c r="I417" s="159"/>
      <c r="J417" s="159"/>
      <c r="K417" s="159"/>
      <c r="L417" s="159"/>
      <c r="M417" s="159"/>
    </row>
    <row r="418" spans="2:13">
      <c r="B418" s="399"/>
      <c r="C418" s="159"/>
      <c r="D418" s="159"/>
      <c r="E418" s="159"/>
      <c r="F418" s="159"/>
      <c r="G418" s="159"/>
      <c r="H418" s="159"/>
      <c r="I418" s="159"/>
      <c r="J418" s="159"/>
      <c r="K418" s="159"/>
      <c r="L418" s="159"/>
      <c r="M418" s="159"/>
    </row>
    <row r="419" spans="2:13">
      <c r="B419" s="399"/>
      <c r="C419" s="159"/>
      <c r="D419" s="159"/>
      <c r="E419" s="159"/>
      <c r="F419" s="159"/>
      <c r="G419" s="159"/>
      <c r="H419" s="159"/>
      <c r="I419" s="159"/>
      <c r="J419" s="159"/>
      <c r="K419" s="159"/>
      <c r="L419" s="159"/>
      <c r="M419" s="159"/>
    </row>
    <row r="420" spans="2:13">
      <c r="B420" s="399"/>
      <c r="C420" s="159"/>
      <c r="D420" s="159"/>
      <c r="E420" s="159"/>
      <c r="F420" s="159"/>
      <c r="G420" s="159"/>
      <c r="H420" s="159"/>
      <c r="I420" s="159"/>
      <c r="J420" s="159"/>
      <c r="K420" s="159"/>
      <c r="L420" s="159"/>
      <c r="M420" s="159"/>
    </row>
    <row r="421" spans="2:13">
      <c r="B421" s="399"/>
      <c r="C421" s="159"/>
      <c r="D421" s="159"/>
      <c r="E421" s="159"/>
      <c r="F421" s="159"/>
      <c r="G421" s="159"/>
      <c r="H421" s="159"/>
      <c r="I421" s="159"/>
      <c r="J421" s="159"/>
      <c r="K421" s="159"/>
      <c r="L421" s="159"/>
      <c r="M421" s="159"/>
    </row>
    <row r="422" spans="2:13">
      <c r="B422" s="399"/>
      <c r="C422" s="159"/>
      <c r="D422" s="159"/>
      <c r="E422" s="159"/>
      <c r="F422" s="159"/>
      <c r="G422" s="159"/>
      <c r="H422" s="159"/>
      <c r="I422" s="159"/>
      <c r="J422" s="159"/>
      <c r="K422" s="159"/>
      <c r="L422" s="159"/>
      <c r="M422" s="159"/>
    </row>
    <row r="423" spans="2:13">
      <c r="B423" s="399"/>
      <c r="C423" s="159"/>
      <c r="D423" s="159"/>
      <c r="E423" s="159"/>
      <c r="F423" s="159"/>
      <c r="G423" s="159"/>
      <c r="H423" s="159"/>
      <c r="I423" s="159"/>
      <c r="J423" s="159"/>
      <c r="K423" s="159"/>
      <c r="L423" s="159"/>
      <c r="M423" s="159"/>
    </row>
    <row r="424" spans="2:13">
      <c r="B424" s="399"/>
      <c r="C424" s="159"/>
      <c r="D424" s="159"/>
      <c r="E424" s="159"/>
      <c r="F424" s="159"/>
      <c r="G424" s="159"/>
      <c r="H424" s="159"/>
      <c r="I424" s="159"/>
      <c r="J424" s="159"/>
      <c r="K424" s="159"/>
      <c r="L424" s="159"/>
      <c r="M424" s="159"/>
    </row>
    <row r="425" spans="2:13">
      <c r="B425" s="399"/>
      <c r="C425" s="159"/>
      <c r="D425" s="159"/>
      <c r="E425" s="159"/>
      <c r="F425" s="159"/>
      <c r="G425" s="159"/>
      <c r="H425" s="159"/>
      <c r="I425" s="159"/>
      <c r="J425" s="159"/>
      <c r="K425" s="159"/>
      <c r="L425" s="159"/>
      <c r="M425" s="159"/>
    </row>
    <row r="426" spans="2:13">
      <c r="B426" s="399"/>
      <c r="C426" s="159"/>
      <c r="D426" s="159"/>
      <c r="E426" s="159"/>
      <c r="F426" s="159"/>
      <c r="G426" s="159"/>
      <c r="H426" s="159"/>
      <c r="I426" s="159"/>
      <c r="J426" s="159"/>
      <c r="K426" s="159"/>
      <c r="L426" s="159"/>
      <c r="M426" s="159"/>
    </row>
    <row r="427" spans="2:13">
      <c r="B427" s="399"/>
      <c r="C427" s="159"/>
      <c r="D427" s="159"/>
      <c r="E427" s="159"/>
      <c r="F427" s="159"/>
      <c r="G427" s="159"/>
      <c r="H427" s="159"/>
      <c r="I427" s="159"/>
      <c r="J427" s="159"/>
      <c r="K427" s="159"/>
      <c r="L427" s="159"/>
      <c r="M427" s="159"/>
    </row>
    <row r="428" spans="2:13">
      <c r="B428" s="399"/>
      <c r="C428" s="159"/>
      <c r="D428" s="159"/>
      <c r="E428" s="159"/>
      <c r="F428" s="159"/>
      <c r="G428" s="159"/>
      <c r="H428" s="159"/>
      <c r="I428" s="159"/>
      <c r="J428" s="159"/>
      <c r="K428" s="159"/>
      <c r="L428" s="159"/>
      <c r="M428" s="159"/>
    </row>
    <row r="429" spans="2:13">
      <c r="B429" s="399"/>
      <c r="C429" s="159"/>
      <c r="D429" s="159"/>
      <c r="E429" s="159"/>
      <c r="F429" s="159"/>
      <c r="G429" s="159"/>
      <c r="H429" s="159"/>
      <c r="I429" s="159"/>
      <c r="J429" s="159"/>
      <c r="K429" s="159"/>
      <c r="L429" s="159"/>
      <c r="M429" s="159"/>
    </row>
    <row r="430" spans="2:13">
      <c r="B430" s="399"/>
      <c r="C430" s="159"/>
      <c r="D430" s="159"/>
      <c r="E430" s="159"/>
      <c r="F430" s="159"/>
      <c r="G430" s="159"/>
      <c r="H430" s="159"/>
      <c r="I430" s="159"/>
      <c r="J430" s="159"/>
      <c r="K430" s="159"/>
      <c r="L430" s="159"/>
      <c r="M430" s="159"/>
    </row>
    <row r="431" spans="2:13">
      <c r="B431" s="399"/>
      <c r="C431" s="159"/>
      <c r="D431" s="159"/>
      <c r="E431" s="159"/>
      <c r="F431" s="159"/>
      <c r="G431" s="159"/>
      <c r="H431" s="159"/>
      <c r="I431" s="159"/>
      <c r="J431" s="159"/>
      <c r="K431" s="159"/>
      <c r="L431" s="159"/>
      <c r="M431" s="159"/>
    </row>
    <row r="432" spans="2:13">
      <c r="B432" s="399"/>
      <c r="C432" s="159"/>
      <c r="D432" s="159"/>
      <c r="E432" s="159"/>
      <c r="F432" s="159"/>
      <c r="G432" s="159"/>
      <c r="H432" s="159"/>
      <c r="I432" s="159"/>
      <c r="J432" s="159"/>
      <c r="K432" s="159"/>
      <c r="L432" s="159"/>
      <c r="M432" s="159"/>
    </row>
    <row r="433" spans="2:13">
      <c r="B433" s="399"/>
      <c r="C433" s="159"/>
      <c r="D433" s="159"/>
      <c r="E433" s="159"/>
      <c r="F433" s="159"/>
      <c r="G433" s="159"/>
      <c r="H433" s="159"/>
      <c r="I433" s="159"/>
      <c r="J433" s="159"/>
      <c r="K433" s="159"/>
      <c r="L433" s="159"/>
      <c r="M433" s="159"/>
    </row>
    <row r="434" spans="2:13">
      <c r="B434" s="399"/>
      <c r="C434" s="159"/>
      <c r="D434" s="159"/>
      <c r="E434" s="159"/>
      <c r="F434" s="159"/>
      <c r="G434" s="159"/>
      <c r="H434" s="159"/>
      <c r="I434" s="159"/>
      <c r="J434" s="159"/>
      <c r="K434" s="159"/>
      <c r="L434" s="159"/>
      <c r="M434" s="159"/>
    </row>
    <row r="435" spans="2:13">
      <c r="B435" s="399"/>
      <c r="C435" s="159"/>
      <c r="D435" s="159"/>
      <c r="E435" s="159"/>
      <c r="F435" s="159"/>
      <c r="G435" s="159"/>
      <c r="H435" s="159"/>
      <c r="I435" s="159"/>
      <c r="J435" s="159"/>
      <c r="K435" s="159"/>
      <c r="L435" s="159"/>
      <c r="M435" s="159"/>
    </row>
    <row r="436" spans="2:13">
      <c r="B436" s="399"/>
      <c r="C436" s="159"/>
      <c r="D436" s="159"/>
      <c r="E436" s="159"/>
      <c r="F436" s="159"/>
      <c r="G436" s="159"/>
      <c r="H436" s="159"/>
      <c r="I436" s="159"/>
      <c r="J436" s="159"/>
      <c r="K436" s="159"/>
      <c r="L436" s="159"/>
      <c r="M436" s="159"/>
    </row>
    <row r="437" spans="2:13">
      <c r="B437" s="399"/>
      <c r="C437" s="159"/>
      <c r="D437" s="159"/>
      <c r="E437" s="159"/>
      <c r="F437" s="159"/>
      <c r="G437" s="159"/>
      <c r="H437" s="159"/>
      <c r="I437" s="159"/>
      <c r="J437" s="159"/>
      <c r="K437" s="159"/>
      <c r="L437" s="159"/>
      <c r="M437" s="159"/>
    </row>
    <row r="438" spans="2:13">
      <c r="B438" s="399"/>
      <c r="C438" s="159"/>
      <c r="D438" s="159"/>
      <c r="E438" s="159"/>
      <c r="F438" s="159"/>
      <c r="G438" s="159"/>
      <c r="H438" s="159"/>
      <c r="I438" s="159"/>
      <c r="J438" s="159"/>
      <c r="K438" s="159"/>
      <c r="L438" s="159"/>
      <c r="M438" s="159"/>
    </row>
    <row r="439" spans="2:13">
      <c r="B439" s="399"/>
      <c r="C439" s="159"/>
      <c r="D439" s="159"/>
      <c r="E439" s="159"/>
      <c r="F439" s="159"/>
      <c r="G439" s="159"/>
      <c r="H439" s="159"/>
      <c r="I439" s="159"/>
      <c r="J439" s="159"/>
      <c r="K439" s="159"/>
      <c r="L439" s="159"/>
      <c r="M439" s="159"/>
    </row>
    <row r="440" spans="2:13">
      <c r="B440" s="399"/>
      <c r="C440" s="159"/>
      <c r="D440" s="159"/>
      <c r="E440" s="159"/>
      <c r="F440" s="159"/>
      <c r="G440" s="159"/>
      <c r="H440" s="159"/>
      <c r="I440" s="159"/>
      <c r="J440" s="159"/>
      <c r="K440" s="159"/>
      <c r="L440" s="159"/>
      <c r="M440" s="159"/>
    </row>
    <row r="441" spans="2:13">
      <c r="B441" s="399"/>
      <c r="C441" s="159"/>
      <c r="D441" s="159"/>
      <c r="E441" s="159"/>
      <c r="F441" s="159"/>
      <c r="G441" s="159"/>
      <c r="H441" s="159"/>
      <c r="I441" s="159"/>
      <c r="J441" s="159"/>
      <c r="K441" s="159"/>
      <c r="L441" s="159"/>
      <c r="M441" s="159"/>
    </row>
    <row r="442" spans="2:13">
      <c r="B442" s="399"/>
      <c r="C442" s="159"/>
      <c r="D442" s="159"/>
      <c r="E442" s="159"/>
      <c r="F442" s="159"/>
      <c r="G442" s="159"/>
      <c r="H442" s="159"/>
      <c r="I442" s="159"/>
      <c r="J442" s="159"/>
      <c r="K442" s="159"/>
      <c r="L442" s="159"/>
      <c r="M442" s="159"/>
    </row>
    <row r="443" spans="2:13">
      <c r="B443" s="399"/>
      <c r="C443" s="159"/>
      <c r="D443" s="159"/>
      <c r="E443" s="159"/>
      <c r="F443" s="159"/>
      <c r="G443" s="159"/>
      <c r="H443" s="159"/>
      <c r="I443" s="159"/>
      <c r="J443" s="159"/>
      <c r="K443" s="159"/>
      <c r="L443" s="159"/>
      <c r="M443" s="159"/>
    </row>
    <row r="444" spans="2:13">
      <c r="B444" s="399"/>
      <c r="C444" s="159"/>
      <c r="D444" s="159"/>
      <c r="E444" s="159"/>
      <c r="F444" s="159"/>
      <c r="G444" s="159"/>
      <c r="H444" s="159"/>
      <c r="I444" s="159"/>
      <c r="J444" s="159"/>
      <c r="K444" s="159"/>
      <c r="L444" s="159"/>
      <c r="M444" s="159"/>
    </row>
    <row r="445" spans="2:13">
      <c r="B445" s="399"/>
      <c r="C445" s="159"/>
      <c r="D445" s="159"/>
      <c r="E445" s="159"/>
      <c r="F445" s="159"/>
      <c r="G445" s="159"/>
      <c r="H445" s="159"/>
      <c r="I445" s="159"/>
      <c r="J445" s="159"/>
      <c r="K445" s="159"/>
      <c r="L445" s="159"/>
      <c r="M445" s="159"/>
    </row>
    <row r="446" spans="2:13">
      <c r="B446" s="399"/>
      <c r="C446" s="159"/>
      <c r="D446" s="159"/>
      <c r="E446" s="159"/>
      <c r="F446" s="159"/>
      <c r="G446" s="159"/>
      <c r="H446" s="159"/>
      <c r="I446" s="159"/>
      <c r="J446" s="159"/>
      <c r="K446" s="159"/>
      <c r="L446" s="159"/>
      <c r="M446" s="159"/>
    </row>
    <row r="447" spans="2:13">
      <c r="B447" s="399"/>
      <c r="C447" s="159"/>
      <c r="D447" s="159"/>
      <c r="E447" s="159"/>
      <c r="F447" s="159"/>
      <c r="G447" s="159"/>
      <c r="H447" s="159"/>
      <c r="I447" s="159"/>
      <c r="J447" s="159"/>
      <c r="K447" s="159"/>
      <c r="L447" s="159"/>
      <c r="M447" s="159"/>
    </row>
    <row r="448" spans="2:13">
      <c r="B448" s="399"/>
      <c r="C448" s="159"/>
      <c r="D448" s="159"/>
      <c r="E448" s="159"/>
      <c r="F448" s="159"/>
      <c r="G448" s="159"/>
      <c r="H448" s="159"/>
      <c r="I448" s="159"/>
      <c r="J448" s="159"/>
      <c r="K448" s="159"/>
      <c r="L448" s="159"/>
      <c r="M448" s="159"/>
    </row>
    <row r="449" spans="2:13">
      <c r="B449" s="399"/>
      <c r="C449" s="159"/>
      <c r="D449" s="159"/>
      <c r="E449" s="159"/>
      <c r="F449" s="159"/>
      <c r="G449" s="159"/>
      <c r="H449" s="159"/>
      <c r="I449" s="159"/>
      <c r="J449" s="159"/>
      <c r="K449" s="159"/>
      <c r="L449" s="159"/>
      <c r="M449" s="159"/>
    </row>
    <row r="450" spans="2:13">
      <c r="B450" s="399"/>
      <c r="C450" s="159"/>
      <c r="D450" s="159"/>
      <c r="E450" s="159"/>
      <c r="F450" s="159"/>
      <c r="G450" s="159"/>
      <c r="H450" s="159"/>
      <c r="I450" s="159"/>
      <c r="J450" s="159"/>
      <c r="K450" s="159"/>
      <c r="L450" s="159"/>
      <c r="M450" s="159"/>
    </row>
    <row r="451" spans="2:13">
      <c r="B451" s="399"/>
      <c r="C451" s="159"/>
      <c r="D451" s="159"/>
      <c r="E451" s="159"/>
      <c r="F451" s="159"/>
      <c r="G451" s="159"/>
      <c r="H451" s="159"/>
      <c r="I451" s="159"/>
      <c r="J451" s="159"/>
      <c r="K451" s="159"/>
      <c r="L451" s="159"/>
      <c r="M451" s="159"/>
    </row>
    <row r="452" spans="2:13">
      <c r="B452" s="399"/>
      <c r="C452" s="159"/>
      <c r="D452" s="159"/>
      <c r="E452" s="159"/>
      <c r="F452" s="159"/>
      <c r="G452" s="159"/>
      <c r="H452" s="159"/>
      <c r="I452" s="159"/>
      <c r="J452" s="159"/>
      <c r="K452" s="159"/>
      <c r="L452" s="159"/>
      <c r="M452" s="159"/>
    </row>
    <row r="453" spans="2:13">
      <c r="B453" s="399"/>
      <c r="C453" s="159"/>
      <c r="D453" s="159"/>
      <c r="E453" s="159"/>
      <c r="F453" s="159"/>
      <c r="G453" s="159"/>
      <c r="H453" s="159"/>
      <c r="I453" s="159"/>
      <c r="J453" s="159"/>
      <c r="K453" s="159"/>
      <c r="L453" s="159"/>
      <c r="M453" s="159"/>
    </row>
    <row r="454" spans="2:13">
      <c r="B454" s="399"/>
      <c r="C454" s="159"/>
      <c r="D454" s="159"/>
      <c r="E454" s="159"/>
      <c r="F454" s="159"/>
      <c r="G454" s="159"/>
      <c r="H454" s="159"/>
      <c r="I454" s="159"/>
      <c r="J454" s="159"/>
      <c r="K454" s="159"/>
      <c r="L454" s="159"/>
      <c r="M454" s="159"/>
    </row>
    <row r="455" spans="2:13">
      <c r="B455" s="399"/>
      <c r="C455" s="159"/>
      <c r="D455" s="159"/>
      <c r="E455" s="159"/>
      <c r="F455" s="159"/>
      <c r="G455" s="159"/>
      <c r="H455" s="159"/>
      <c r="I455" s="159"/>
      <c r="J455" s="159"/>
      <c r="K455" s="159"/>
      <c r="L455" s="159"/>
      <c r="M455" s="159"/>
    </row>
    <row r="456" spans="2:13">
      <c r="B456" s="399"/>
      <c r="C456" s="159"/>
      <c r="D456" s="159"/>
      <c r="E456" s="159"/>
      <c r="F456" s="159"/>
      <c r="G456" s="159"/>
      <c r="H456" s="159"/>
      <c r="I456" s="159"/>
      <c r="J456" s="159"/>
      <c r="K456" s="159"/>
      <c r="L456" s="159"/>
      <c r="M456" s="159"/>
    </row>
    <row r="457" spans="2:13">
      <c r="B457" s="399"/>
      <c r="C457" s="159"/>
      <c r="D457" s="159"/>
      <c r="E457" s="159"/>
      <c r="F457" s="159"/>
      <c r="G457" s="159"/>
      <c r="H457" s="159"/>
      <c r="I457" s="159"/>
      <c r="J457" s="159"/>
      <c r="K457" s="159"/>
      <c r="L457" s="159"/>
      <c r="M457" s="159"/>
    </row>
    <row r="458" spans="2:13">
      <c r="B458" s="399"/>
      <c r="C458" s="159"/>
      <c r="D458" s="159"/>
      <c r="E458" s="159"/>
      <c r="F458" s="159"/>
      <c r="G458" s="159"/>
      <c r="H458" s="159"/>
      <c r="I458" s="159"/>
      <c r="J458" s="159"/>
      <c r="K458" s="159"/>
      <c r="L458" s="159"/>
      <c r="M458" s="159"/>
    </row>
    <row r="459" spans="2:13">
      <c r="B459" s="399"/>
      <c r="C459" s="159"/>
      <c r="D459" s="159"/>
      <c r="E459" s="159"/>
      <c r="F459" s="159"/>
      <c r="G459" s="159"/>
      <c r="H459" s="159"/>
      <c r="I459" s="159"/>
      <c r="J459" s="159"/>
      <c r="K459" s="159"/>
      <c r="L459" s="159"/>
      <c r="M459" s="159"/>
    </row>
    <row r="460" spans="2:13">
      <c r="B460" s="399"/>
      <c r="C460" s="159"/>
      <c r="D460" s="159"/>
      <c r="E460" s="159"/>
      <c r="F460" s="159"/>
      <c r="G460" s="159"/>
      <c r="H460" s="159"/>
      <c r="I460" s="159"/>
      <c r="J460" s="159"/>
      <c r="K460" s="159"/>
      <c r="L460" s="159"/>
      <c r="M460" s="159"/>
    </row>
    <row r="461" spans="2:13">
      <c r="B461" s="399"/>
      <c r="C461" s="159"/>
      <c r="D461" s="159"/>
      <c r="E461" s="159"/>
      <c r="F461" s="159"/>
      <c r="G461" s="159"/>
      <c r="H461" s="159"/>
      <c r="I461" s="159"/>
      <c r="J461" s="159"/>
      <c r="K461" s="159"/>
      <c r="L461" s="159"/>
      <c r="M461" s="159"/>
    </row>
    <row r="462" spans="2:13">
      <c r="B462" s="399"/>
      <c r="C462" s="159"/>
      <c r="D462" s="159"/>
      <c r="E462" s="159"/>
      <c r="F462" s="159"/>
      <c r="G462" s="159"/>
      <c r="H462" s="159"/>
      <c r="I462" s="159"/>
      <c r="J462" s="159"/>
      <c r="K462" s="159"/>
      <c r="L462" s="159"/>
      <c r="M462" s="159"/>
    </row>
    <row r="463" spans="2:13">
      <c r="B463" s="399"/>
      <c r="C463" s="159"/>
      <c r="D463" s="159"/>
      <c r="E463" s="159"/>
      <c r="F463" s="159"/>
      <c r="G463" s="159"/>
      <c r="H463" s="159"/>
      <c r="I463" s="159"/>
      <c r="J463" s="159"/>
      <c r="K463" s="159"/>
      <c r="L463" s="159"/>
      <c r="M463" s="159"/>
    </row>
    <row r="464" spans="2:13">
      <c r="B464" s="399"/>
      <c r="C464" s="159"/>
      <c r="D464" s="159"/>
      <c r="E464" s="159"/>
      <c r="F464" s="159"/>
      <c r="G464" s="159"/>
      <c r="H464" s="159"/>
      <c r="I464" s="159"/>
      <c r="J464" s="159"/>
      <c r="K464" s="159"/>
      <c r="L464" s="159"/>
      <c r="M464" s="159"/>
    </row>
    <row r="465" spans="2:13">
      <c r="B465" s="399"/>
      <c r="C465" s="159"/>
      <c r="D465" s="159"/>
      <c r="E465" s="159"/>
      <c r="F465" s="159"/>
      <c r="G465" s="159"/>
      <c r="H465" s="159"/>
      <c r="I465" s="159"/>
      <c r="J465" s="159"/>
      <c r="K465" s="159"/>
      <c r="L465" s="159"/>
      <c r="M465" s="159"/>
    </row>
    <row r="466" spans="2:13">
      <c r="B466" s="399"/>
      <c r="C466" s="159"/>
      <c r="D466" s="159"/>
      <c r="E466" s="159"/>
      <c r="F466" s="159"/>
      <c r="G466" s="159"/>
      <c r="H466" s="159"/>
      <c r="I466" s="159"/>
      <c r="J466" s="159"/>
      <c r="K466" s="159"/>
      <c r="L466" s="159"/>
      <c r="M466" s="159"/>
    </row>
    <row r="467" spans="2:13">
      <c r="B467" s="399"/>
      <c r="C467" s="159"/>
      <c r="D467" s="159"/>
      <c r="E467" s="159"/>
      <c r="F467" s="159"/>
      <c r="G467" s="159"/>
      <c r="H467" s="159"/>
      <c r="I467" s="159"/>
      <c r="J467" s="159"/>
      <c r="K467" s="159"/>
      <c r="L467" s="159"/>
      <c r="M467" s="159"/>
    </row>
    <row r="468" spans="2:13">
      <c r="B468" s="399"/>
      <c r="C468" s="159"/>
      <c r="D468" s="159"/>
      <c r="E468" s="159"/>
      <c r="F468" s="159"/>
      <c r="G468" s="159"/>
      <c r="H468" s="159"/>
      <c r="I468" s="159"/>
      <c r="J468" s="159"/>
      <c r="K468" s="159"/>
      <c r="L468" s="159"/>
      <c r="M468" s="159"/>
    </row>
    <row r="469" spans="2:13">
      <c r="B469" s="399"/>
      <c r="C469" s="159"/>
      <c r="D469" s="159"/>
      <c r="E469" s="159"/>
      <c r="F469" s="159"/>
      <c r="G469" s="159"/>
      <c r="H469" s="159"/>
      <c r="I469" s="159"/>
      <c r="J469" s="159"/>
      <c r="K469" s="159"/>
      <c r="L469" s="159"/>
      <c r="M469" s="159"/>
    </row>
    <row r="470" spans="2:13">
      <c r="B470" s="399"/>
      <c r="C470" s="159"/>
      <c r="D470" s="159"/>
      <c r="E470" s="159"/>
      <c r="F470" s="159"/>
      <c r="G470" s="159"/>
      <c r="H470" s="159"/>
      <c r="I470" s="159"/>
      <c r="J470" s="159"/>
      <c r="K470" s="159"/>
      <c r="L470" s="159"/>
      <c r="M470" s="159"/>
    </row>
    <row r="471" spans="2:13">
      <c r="B471" s="399"/>
      <c r="C471" s="159"/>
      <c r="D471" s="159"/>
      <c r="E471" s="159"/>
      <c r="F471" s="159"/>
      <c r="G471" s="159"/>
      <c r="H471" s="159"/>
      <c r="I471" s="159"/>
      <c r="J471" s="159"/>
      <c r="K471" s="159"/>
      <c r="L471" s="159"/>
      <c r="M471" s="159"/>
    </row>
    <row r="472" spans="2:13">
      <c r="B472" s="399"/>
      <c r="C472" s="159"/>
      <c r="D472" s="159"/>
      <c r="E472" s="159"/>
      <c r="F472" s="159"/>
      <c r="G472" s="159"/>
      <c r="H472" s="159"/>
      <c r="I472" s="159"/>
      <c r="J472" s="159"/>
      <c r="K472" s="159"/>
      <c r="L472" s="159"/>
      <c r="M472" s="159"/>
    </row>
    <row r="473" spans="2:13">
      <c r="B473" s="399"/>
      <c r="C473" s="159"/>
      <c r="D473" s="159"/>
      <c r="E473" s="159"/>
      <c r="F473" s="159"/>
      <c r="G473" s="159"/>
      <c r="H473" s="159"/>
      <c r="I473" s="159"/>
      <c r="J473" s="159"/>
      <c r="K473" s="159"/>
      <c r="L473" s="159"/>
      <c r="M473" s="159"/>
    </row>
    <row r="474" spans="2:13">
      <c r="B474" s="399"/>
      <c r="C474" s="159"/>
      <c r="D474" s="159"/>
      <c r="E474" s="159"/>
      <c r="F474" s="159"/>
      <c r="G474" s="159"/>
      <c r="H474" s="159"/>
      <c r="I474" s="159"/>
      <c r="J474" s="159"/>
      <c r="K474" s="159"/>
      <c r="L474" s="159"/>
      <c r="M474" s="159"/>
    </row>
    <row r="475" spans="2:13">
      <c r="B475" s="399"/>
      <c r="C475" s="159"/>
      <c r="D475" s="159"/>
      <c r="E475" s="159"/>
      <c r="F475" s="159"/>
      <c r="G475" s="159"/>
      <c r="H475" s="159"/>
      <c r="I475" s="159"/>
      <c r="J475" s="159"/>
      <c r="K475" s="159"/>
      <c r="L475" s="159"/>
      <c r="M475" s="159"/>
    </row>
    <row r="476" spans="2:13">
      <c r="B476" s="399"/>
      <c r="C476" s="159"/>
      <c r="D476" s="159"/>
      <c r="E476" s="159"/>
      <c r="F476" s="159"/>
      <c r="G476" s="159"/>
      <c r="H476" s="159"/>
      <c r="I476" s="159"/>
      <c r="J476" s="159"/>
      <c r="K476" s="159"/>
      <c r="L476" s="159"/>
      <c r="M476" s="159"/>
    </row>
    <row r="477" spans="2:13">
      <c r="B477" s="399"/>
      <c r="C477" s="159"/>
      <c r="D477" s="159"/>
      <c r="E477" s="159"/>
      <c r="F477" s="159"/>
      <c r="G477" s="159"/>
      <c r="H477" s="159"/>
      <c r="I477" s="159"/>
      <c r="J477" s="159"/>
      <c r="K477" s="159"/>
      <c r="L477" s="159"/>
      <c r="M477" s="159"/>
    </row>
    <row r="478" spans="2:13">
      <c r="B478" s="399"/>
      <c r="C478" s="159"/>
      <c r="D478" s="159"/>
      <c r="E478" s="159"/>
      <c r="F478" s="159"/>
      <c r="G478" s="159"/>
      <c r="H478" s="159"/>
      <c r="I478" s="159"/>
      <c r="J478" s="159"/>
      <c r="K478" s="159"/>
      <c r="L478" s="159"/>
      <c r="M478" s="159"/>
    </row>
    <row r="479" spans="2:13">
      <c r="B479" s="399"/>
      <c r="C479" s="159"/>
      <c r="D479" s="159"/>
      <c r="E479" s="159"/>
      <c r="F479" s="159"/>
      <c r="G479" s="159"/>
      <c r="H479" s="159"/>
      <c r="I479" s="159"/>
      <c r="J479" s="159"/>
      <c r="K479" s="159"/>
      <c r="L479" s="159"/>
      <c r="M479" s="159"/>
    </row>
    <row r="480" spans="2:13">
      <c r="B480" s="399"/>
      <c r="C480" s="159"/>
      <c r="D480" s="159"/>
      <c r="E480" s="159"/>
      <c r="F480" s="159"/>
      <c r="G480" s="159"/>
      <c r="H480" s="159"/>
      <c r="I480" s="159"/>
      <c r="J480" s="159"/>
      <c r="K480" s="159"/>
      <c r="L480" s="159"/>
      <c r="M480" s="159"/>
    </row>
    <row r="481" spans="2:13">
      <c r="B481" s="399"/>
      <c r="C481" s="159"/>
      <c r="D481" s="159"/>
      <c r="E481" s="159"/>
      <c r="F481" s="159"/>
      <c r="G481" s="159"/>
      <c r="H481" s="159"/>
      <c r="I481" s="159"/>
      <c r="J481" s="159"/>
      <c r="K481" s="159"/>
      <c r="L481" s="159"/>
      <c r="M481" s="159"/>
    </row>
    <row r="482" spans="2:13">
      <c r="B482" s="399"/>
      <c r="C482" s="159"/>
      <c r="D482" s="159"/>
      <c r="E482" s="159"/>
      <c r="F482" s="159"/>
      <c r="G482" s="159"/>
      <c r="H482" s="159"/>
      <c r="I482" s="159"/>
      <c r="J482" s="159"/>
      <c r="K482" s="159"/>
      <c r="L482" s="159"/>
      <c r="M482" s="159"/>
    </row>
    <row r="483" spans="2:13">
      <c r="B483" s="399"/>
      <c r="C483" s="159"/>
      <c r="D483" s="159"/>
      <c r="E483" s="159"/>
      <c r="F483" s="159"/>
      <c r="G483" s="159"/>
      <c r="H483" s="159"/>
      <c r="I483" s="159"/>
      <c r="J483" s="159"/>
      <c r="K483" s="159"/>
      <c r="L483" s="159"/>
      <c r="M483" s="159"/>
    </row>
    <row r="484" spans="2:13">
      <c r="B484" s="399"/>
      <c r="C484" s="159"/>
      <c r="D484" s="159"/>
      <c r="E484" s="159"/>
      <c r="F484" s="159"/>
      <c r="G484" s="159"/>
      <c r="H484" s="159"/>
      <c r="I484" s="159"/>
      <c r="J484" s="159"/>
      <c r="K484" s="159"/>
      <c r="L484" s="159"/>
      <c r="M484" s="159"/>
    </row>
    <row r="485" spans="2:13">
      <c r="B485" s="399"/>
      <c r="C485" s="159"/>
      <c r="D485" s="159"/>
      <c r="E485" s="159"/>
      <c r="F485" s="159"/>
      <c r="G485" s="159"/>
      <c r="H485" s="159"/>
      <c r="I485" s="159"/>
      <c r="J485" s="159"/>
      <c r="K485" s="159"/>
      <c r="L485" s="159"/>
      <c r="M485" s="159"/>
    </row>
    <row r="486" spans="2:13">
      <c r="B486" s="399"/>
      <c r="C486" s="159"/>
      <c r="D486" s="159"/>
      <c r="E486" s="159"/>
      <c r="F486" s="159"/>
      <c r="G486" s="159"/>
      <c r="H486" s="159"/>
      <c r="I486" s="159"/>
      <c r="J486" s="159"/>
      <c r="K486" s="159"/>
      <c r="L486" s="159"/>
      <c r="M486" s="159"/>
    </row>
    <row r="487" spans="2:13">
      <c r="B487" s="399"/>
      <c r="C487" s="159"/>
      <c r="D487" s="159"/>
      <c r="E487" s="159"/>
      <c r="F487" s="159"/>
      <c r="G487" s="159"/>
      <c r="H487" s="159"/>
      <c r="I487" s="159"/>
      <c r="J487" s="159"/>
      <c r="K487" s="159"/>
      <c r="L487" s="159"/>
      <c r="M487" s="159"/>
    </row>
    <row r="488" spans="2:13">
      <c r="B488" s="399"/>
      <c r="C488" s="159"/>
      <c r="D488" s="159"/>
      <c r="E488" s="159"/>
      <c r="F488" s="159"/>
      <c r="G488" s="159"/>
      <c r="H488" s="159"/>
      <c r="I488" s="159"/>
      <c r="J488" s="159"/>
      <c r="K488" s="159"/>
      <c r="L488" s="159"/>
      <c r="M488" s="159"/>
    </row>
    <row r="489" spans="2:13">
      <c r="B489" s="399"/>
      <c r="C489" s="159"/>
      <c r="D489" s="159"/>
      <c r="E489" s="159"/>
      <c r="F489" s="159"/>
      <c r="G489" s="159"/>
      <c r="H489" s="159"/>
      <c r="I489" s="159"/>
      <c r="J489" s="159"/>
      <c r="K489" s="159"/>
      <c r="L489" s="159"/>
      <c r="M489" s="159"/>
    </row>
    <row r="490" spans="2:13">
      <c r="B490" s="399"/>
      <c r="C490" s="159"/>
      <c r="D490" s="159"/>
      <c r="E490" s="159"/>
      <c r="F490" s="159"/>
      <c r="G490" s="159"/>
      <c r="H490" s="159"/>
      <c r="I490" s="159"/>
      <c r="J490" s="159"/>
      <c r="K490" s="159"/>
      <c r="L490" s="159"/>
      <c r="M490" s="159"/>
    </row>
    <row r="491" spans="2:13">
      <c r="B491" s="399"/>
      <c r="C491" s="159"/>
      <c r="D491" s="159"/>
      <c r="E491" s="159"/>
      <c r="F491" s="159"/>
      <c r="G491" s="159"/>
      <c r="H491" s="159"/>
      <c r="I491" s="159"/>
      <c r="J491" s="159"/>
      <c r="K491" s="159"/>
      <c r="L491" s="159"/>
      <c r="M491" s="159"/>
    </row>
    <row r="492" spans="2:13">
      <c r="B492" s="399"/>
      <c r="C492" s="159"/>
      <c r="D492" s="159"/>
      <c r="E492" s="159"/>
      <c r="F492" s="159"/>
      <c r="G492" s="159"/>
      <c r="H492" s="159"/>
      <c r="I492" s="159"/>
      <c r="J492" s="159"/>
      <c r="K492" s="159"/>
      <c r="L492" s="159"/>
      <c r="M492" s="159"/>
    </row>
    <row r="493" spans="2:13">
      <c r="B493" s="399"/>
      <c r="C493" s="159"/>
      <c r="D493" s="159"/>
      <c r="E493" s="159"/>
      <c r="F493" s="159"/>
      <c r="G493" s="159"/>
      <c r="H493" s="159"/>
      <c r="I493" s="159"/>
      <c r="J493" s="159"/>
      <c r="K493" s="159"/>
      <c r="L493" s="159"/>
      <c r="M493" s="159"/>
    </row>
    <row r="494" spans="2:13">
      <c r="B494" s="399"/>
      <c r="C494" s="159"/>
      <c r="D494" s="159"/>
      <c r="E494" s="159"/>
      <c r="F494" s="159"/>
      <c r="G494" s="159"/>
      <c r="H494" s="159"/>
      <c r="I494" s="159"/>
      <c r="J494" s="159"/>
      <c r="K494" s="159"/>
      <c r="L494" s="159"/>
      <c r="M494" s="159"/>
    </row>
    <row r="495" spans="2:13">
      <c r="B495" s="399"/>
      <c r="C495" s="159"/>
      <c r="D495" s="159"/>
      <c r="E495" s="159"/>
      <c r="F495" s="159"/>
      <c r="G495" s="159"/>
      <c r="H495" s="159"/>
      <c r="I495" s="159"/>
      <c r="J495" s="159"/>
      <c r="K495" s="159"/>
      <c r="L495" s="159"/>
      <c r="M495" s="159"/>
    </row>
    <row r="496" spans="2:13">
      <c r="B496" s="399"/>
      <c r="C496" s="159"/>
      <c r="D496" s="159"/>
      <c r="E496" s="159"/>
      <c r="F496" s="159"/>
      <c r="G496" s="159"/>
      <c r="H496" s="159"/>
      <c r="I496" s="159"/>
      <c r="J496" s="159"/>
      <c r="K496" s="159"/>
      <c r="L496" s="159"/>
      <c r="M496" s="159"/>
    </row>
    <row r="497" spans="2:13">
      <c r="B497" s="399"/>
      <c r="C497" s="159"/>
      <c r="D497" s="159"/>
      <c r="E497" s="159"/>
      <c r="F497" s="159"/>
      <c r="G497" s="159"/>
      <c r="H497" s="159"/>
      <c r="I497" s="159"/>
      <c r="J497" s="159"/>
      <c r="K497" s="159"/>
      <c r="L497" s="159"/>
      <c r="M497" s="159"/>
    </row>
    <row r="498" spans="2:13">
      <c r="B498" s="399"/>
      <c r="C498" s="159"/>
      <c r="D498" s="159"/>
      <c r="E498" s="159"/>
      <c r="F498" s="159"/>
      <c r="G498" s="159"/>
      <c r="H498" s="159"/>
      <c r="I498" s="159"/>
      <c r="J498" s="159"/>
      <c r="K498" s="159"/>
      <c r="L498" s="159"/>
      <c r="M498" s="159"/>
    </row>
    <row r="499" spans="2:13">
      <c r="B499" s="399"/>
      <c r="C499" s="159"/>
      <c r="D499" s="159"/>
      <c r="E499" s="159"/>
      <c r="F499" s="159"/>
      <c r="G499" s="159"/>
      <c r="H499" s="159"/>
      <c r="I499" s="159"/>
      <c r="J499" s="159"/>
      <c r="K499" s="159"/>
      <c r="L499" s="159"/>
      <c r="M499" s="159"/>
    </row>
    <row r="500" spans="2:13">
      <c r="B500" s="399"/>
      <c r="C500" s="159"/>
      <c r="D500" s="159"/>
      <c r="E500" s="159"/>
      <c r="F500" s="159"/>
      <c r="G500" s="159"/>
      <c r="H500" s="159"/>
      <c r="I500" s="159"/>
      <c r="J500" s="159"/>
      <c r="K500" s="159"/>
      <c r="L500" s="159"/>
      <c r="M500" s="159"/>
    </row>
    <row r="501" spans="2:13">
      <c r="B501" s="399"/>
      <c r="C501" s="159"/>
      <c r="D501" s="159"/>
      <c r="E501" s="159"/>
      <c r="F501" s="159"/>
      <c r="G501" s="159"/>
      <c r="H501" s="159"/>
      <c r="I501" s="159"/>
      <c r="J501" s="159"/>
      <c r="K501" s="159"/>
      <c r="L501" s="159"/>
      <c r="M501" s="159"/>
    </row>
    <row r="502" spans="2:13">
      <c r="B502" s="399"/>
      <c r="C502" s="159"/>
      <c r="D502" s="159"/>
      <c r="E502" s="159"/>
      <c r="F502" s="159"/>
      <c r="G502" s="159"/>
      <c r="H502" s="159"/>
      <c r="I502" s="159"/>
      <c r="J502" s="159"/>
      <c r="K502" s="159"/>
      <c r="L502" s="159"/>
      <c r="M502" s="159"/>
    </row>
    <row r="503" spans="2:13">
      <c r="B503" s="399"/>
      <c r="C503" s="159"/>
      <c r="D503" s="159"/>
      <c r="E503" s="159"/>
      <c r="F503" s="159"/>
      <c r="G503" s="159"/>
      <c r="H503" s="159"/>
      <c r="I503" s="159"/>
      <c r="J503" s="159"/>
      <c r="K503" s="159"/>
      <c r="L503" s="159"/>
      <c r="M503" s="159"/>
    </row>
    <row r="504" spans="2:13">
      <c r="B504" s="399"/>
      <c r="C504" s="159"/>
      <c r="D504" s="159"/>
      <c r="E504" s="159"/>
      <c r="F504" s="159"/>
      <c r="G504" s="159"/>
      <c r="H504" s="159"/>
      <c r="I504" s="159"/>
      <c r="J504" s="159"/>
      <c r="K504" s="159"/>
      <c r="L504" s="159"/>
      <c r="M504" s="159"/>
    </row>
    <row r="505" spans="2:13">
      <c r="B505" s="399"/>
      <c r="C505" s="159"/>
      <c r="D505" s="159"/>
      <c r="E505" s="159"/>
      <c r="F505" s="159"/>
      <c r="G505" s="159"/>
      <c r="H505" s="159"/>
      <c r="I505" s="159"/>
      <c r="J505" s="159"/>
      <c r="K505" s="159"/>
      <c r="L505" s="159"/>
      <c r="M505" s="159"/>
    </row>
    <row r="506" spans="2:13">
      <c r="B506" s="399"/>
      <c r="C506" s="159"/>
      <c r="D506" s="159"/>
      <c r="E506" s="159"/>
      <c r="F506" s="159"/>
      <c r="G506" s="159"/>
      <c r="H506" s="159"/>
      <c r="I506" s="159"/>
      <c r="J506" s="159"/>
      <c r="K506" s="159"/>
      <c r="L506" s="159"/>
      <c r="M506" s="159"/>
    </row>
    <row r="507" spans="2:13">
      <c r="B507" s="399"/>
      <c r="C507" s="159"/>
      <c r="D507" s="159"/>
      <c r="E507" s="159"/>
      <c r="F507" s="159"/>
      <c r="G507" s="159"/>
      <c r="H507" s="159"/>
      <c r="I507" s="159"/>
      <c r="J507" s="159"/>
      <c r="K507" s="159"/>
      <c r="L507" s="159"/>
      <c r="M507" s="159"/>
    </row>
    <row r="508" spans="2:13">
      <c r="B508" s="399"/>
      <c r="C508" s="159"/>
      <c r="D508" s="159"/>
      <c r="E508" s="159"/>
      <c r="F508" s="159"/>
      <c r="G508" s="159"/>
      <c r="H508" s="159"/>
      <c r="I508" s="159"/>
      <c r="J508" s="159"/>
      <c r="K508" s="159"/>
      <c r="L508" s="159"/>
      <c r="M508" s="159"/>
    </row>
    <row r="509" spans="2:13">
      <c r="B509" s="399"/>
      <c r="C509" s="159"/>
      <c r="D509" s="159"/>
      <c r="E509" s="159"/>
      <c r="F509" s="159"/>
      <c r="G509" s="159"/>
      <c r="H509" s="159"/>
      <c r="I509" s="159"/>
      <c r="J509" s="159"/>
      <c r="K509" s="159"/>
      <c r="L509" s="159"/>
      <c r="M509" s="159"/>
    </row>
    <row r="510" spans="2:13">
      <c r="B510" s="399"/>
      <c r="C510" s="159"/>
      <c r="D510" s="159"/>
      <c r="E510" s="159"/>
      <c r="F510" s="159"/>
      <c r="G510" s="159"/>
      <c r="H510" s="159"/>
      <c r="I510" s="159"/>
      <c r="J510" s="159"/>
      <c r="K510" s="159"/>
      <c r="L510" s="159"/>
      <c r="M510" s="159"/>
    </row>
    <row r="511" spans="2:13">
      <c r="B511" s="399"/>
      <c r="C511" s="159"/>
      <c r="D511" s="159"/>
      <c r="E511" s="159"/>
      <c r="F511" s="159"/>
      <c r="G511" s="159"/>
      <c r="H511" s="159"/>
      <c r="I511" s="159"/>
      <c r="J511" s="159"/>
      <c r="K511" s="159"/>
      <c r="L511" s="159"/>
      <c r="M511" s="159"/>
    </row>
    <row r="512" spans="2:13">
      <c r="B512" s="399"/>
      <c r="C512" s="159"/>
      <c r="D512" s="159"/>
      <c r="E512" s="159"/>
      <c r="F512" s="159"/>
      <c r="G512" s="159"/>
      <c r="H512" s="159"/>
      <c r="I512" s="159"/>
      <c r="J512" s="159"/>
      <c r="K512" s="159"/>
      <c r="L512" s="159"/>
      <c r="M512" s="159"/>
    </row>
    <row r="513" spans="2:13">
      <c r="B513" s="399"/>
      <c r="C513" s="159"/>
      <c r="D513" s="159"/>
      <c r="E513" s="159"/>
      <c r="F513" s="159"/>
      <c r="G513" s="159"/>
      <c r="H513" s="159"/>
      <c r="I513" s="159"/>
      <c r="J513" s="159"/>
      <c r="K513" s="159"/>
      <c r="L513" s="159"/>
      <c r="M513" s="159"/>
    </row>
    <row r="514" spans="2:13">
      <c r="B514" s="399"/>
      <c r="C514" s="159"/>
      <c r="D514" s="159"/>
      <c r="E514" s="159"/>
      <c r="F514" s="159"/>
      <c r="G514" s="159"/>
      <c r="H514" s="159"/>
      <c r="I514" s="159"/>
      <c r="J514" s="159"/>
      <c r="K514" s="159"/>
      <c r="L514" s="159"/>
      <c r="M514" s="159"/>
    </row>
    <row r="515" spans="2:13">
      <c r="B515" s="399"/>
      <c r="C515" s="159"/>
      <c r="D515" s="159"/>
      <c r="E515" s="159"/>
      <c r="F515" s="159"/>
      <c r="G515" s="159"/>
      <c r="H515" s="159"/>
      <c r="I515" s="159"/>
      <c r="J515" s="159"/>
      <c r="K515" s="159"/>
      <c r="L515" s="159"/>
      <c r="M515" s="159"/>
    </row>
    <row r="516" spans="2:13">
      <c r="B516" s="399"/>
      <c r="C516" s="159"/>
      <c r="D516" s="159"/>
      <c r="E516" s="159"/>
      <c r="F516" s="159"/>
      <c r="G516" s="159"/>
      <c r="H516" s="159"/>
      <c r="I516" s="159"/>
      <c r="J516" s="159"/>
      <c r="K516" s="159"/>
      <c r="L516" s="159"/>
      <c r="M516" s="159"/>
    </row>
    <row r="517" spans="2:13">
      <c r="B517" s="399"/>
      <c r="C517" s="159"/>
      <c r="D517" s="159"/>
      <c r="E517" s="159"/>
      <c r="F517" s="159"/>
      <c r="G517" s="159"/>
      <c r="H517" s="159"/>
      <c r="I517" s="159"/>
      <c r="J517" s="159"/>
      <c r="K517" s="159"/>
      <c r="L517" s="159"/>
      <c r="M517" s="159"/>
    </row>
    <row r="518" spans="2:13">
      <c r="B518" s="399"/>
      <c r="C518" s="159"/>
      <c r="D518" s="159"/>
      <c r="E518" s="159"/>
      <c r="F518" s="159"/>
      <c r="G518" s="159"/>
      <c r="H518" s="159"/>
      <c r="I518" s="159"/>
      <c r="J518" s="159"/>
      <c r="K518" s="159"/>
      <c r="L518" s="159"/>
      <c r="M518" s="159"/>
    </row>
    <row r="519" spans="2:13">
      <c r="B519" s="399"/>
      <c r="C519" s="159"/>
      <c r="D519" s="159"/>
      <c r="E519" s="159"/>
      <c r="F519" s="159"/>
      <c r="G519" s="159"/>
      <c r="H519" s="159"/>
      <c r="I519" s="159"/>
      <c r="J519" s="159"/>
      <c r="K519" s="159"/>
      <c r="L519" s="159"/>
      <c r="M519" s="159"/>
    </row>
    <row r="520" spans="2:13">
      <c r="B520" s="399"/>
      <c r="C520" s="159"/>
      <c r="D520" s="159"/>
      <c r="E520" s="159"/>
      <c r="F520" s="159"/>
      <c r="G520" s="159"/>
      <c r="H520" s="159"/>
      <c r="I520" s="159"/>
      <c r="J520" s="159"/>
      <c r="K520" s="159"/>
      <c r="L520" s="159"/>
      <c r="M520" s="159"/>
    </row>
    <row r="521" spans="2:13">
      <c r="B521" s="399"/>
      <c r="C521" s="159"/>
      <c r="D521" s="159"/>
      <c r="E521" s="159"/>
      <c r="F521" s="159"/>
      <c r="G521" s="159"/>
      <c r="H521" s="159"/>
      <c r="I521" s="159"/>
      <c r="J521" s="159"/>
      <c r="K521" s="159"/>
      <c r="L521" s="159"/>
      <c r="M521" s="159"/>
    </row>
    <row r="522" spans="2:13">
      <c r="B522" s="399"/>
      <c r="C522" s="159"/>
      <c r="D522" s="159"/>
      <c r="E522" s="159"/>
      <c r="F522" s="159"/>
      <c r="G522" s="159"/>
      <c r="H522" s="159"/>
      <c r="I522" s="159"/>
      <c r="J522" s="159"/>
      <c r="K522" s="159"/>
      <c r="L522" s="159"/>
      <c r="M522" s="159"/>
    </row>
    <row r="523" spans="2:13">
      <c r="B523" s="399"/>
      <c r="C523" s="159"/>
      <c r="D523" s="159"/>
      <c r="E523" s="159"/>
      <c r="F523" s="159"/>
      <c r="G523" s="159"/>
      <c r="H523" s="159"/>
      <c r="I523" s="159"/>
      <c r="J523" s="159"/>
      <c r="K523" s="159"/>
      <c r="L523" s="159"/>
      <c r="M523" s="159"/>
    </row>
    <row r="524" spans="2:13">
      <c r="B524" s="399"/>
      <c r="C524" s="159"/>
      <c r="D524" s="159"/>
      <c r="E524" s="159"/>
      <c r="F524" s="159"/>
      <c r="G524" s="159"/>
      <c r="H524" s="159"/>
      <c r="I524" s="159"/>
      <c r="J524" s="159"/>
      <c r="K524" s="159"/>
      <c r="L524" s="159"/>
      <c r="M524" s="159"/>
    </row>
    <row r="525" spans="2:13">
      <c r="B525" s="399"/>
      <c r="C525" s="159"/>
      <c r="D525" s="159"/>
      <c r="E525" s="159"/>
      <c r="F525" s="159"/>
      <c r="G525" s="159"/>
      <c r="H525" s="159"/>
      <c r="I525" s="159"/>
      <c r="J525" s="159"/>
      <c r="K525" s="159"/>
      <c r="L525" s="159"/>
      <c r="M525" s="159"/>
    </row>
    <row r="526" spans="2:13">
      <c r="B526" s="399"/>
      <c r="C526" s="159"/>
      <c r="D526" s="159"/>
      <c r="E526" s="159"/>
      <c r="F526" s="159"/>
      <c r="G526" s="159"/>
      <c r="H526" s="159"/>
      <c r="I526" s="159"/>
      <c r="J526" s="159"/>
      <c r="K526" s="159"/>
      <c r="L526" s="159"/>
      <c r="M526" s="159"/>
    </row>
    <row r="527" spans="2:13">
      <c r="B527" s="399"/>
      <c r="C527" s="159"/>
      <c r="D527" s="159"/>
      <c r="E527" s="159"/>
      <c r="F527" s="159"/>
      <c r="G527" s="159"/>
      <c r="H527" s="159"/>
      <c r="I527" s="159"/>
      <c r="J527" s="159"/>
      <c r="K527" s="159"/>
      <c r="L527" s="159"/>
      <c r="M527" s="159"/>
    </row>
    <row r="528" spans="2:13">
      <c r="B528" s="399"/>
      <c r="C528" s="159"/>
      <c r="D528" s="159"/>
      <c r="E528" s="159"/>
      <c r="F528" s="159"/>
      <c r="G528" s="159"/>
      <c r="H528" s="159"/>
      <c r="I528" s="159"/>
      <c r="J528" s="159"/>
      <c r="K528" s="159"/>
      <c r="L528" s="159"/>
      <c r="M528" s="159"/>
    </row>
    <row r="529" spans="2:13">
      <c r="B529" s="399"/>
      <c r="C529" s="159"/>
      <c r="D529" s="159"/>
      <c r="E529" s="159"/>
      <c r="F529" s="159"/>
      <c r="G529" s="159"/>
      <c r="H529" s="159"/>
      <c r="I529" s="159"/>
      <c r="J529" s="159"/>
      <c r="K529" s="159"/>
      <c r="L529" s="159"/>
      <c r="M529" s="159"/>
    </row>
    <row r="530" spans="2:13">
      <c r="B530" s="399"/>
      <c r="C530" s="159"/>
      <c r="D530" s="159"/>
      <c r="E530" s="159"/>
      <c r="F530" s="159"/>
      <c r="G530" s="159"/>
      <c r="H530" s="159"/>
      <c r="I530" s="159"/>
      <c r="J530" s="159"/>
      <c r="K530" s="159"/>
      <c r="L530" s="159"/>
      <c r="M530" s="159"/>
    </row>
    <row r="531" spans="2:13">
      <c r="B531" s="399"/>
      <c r="C531" s="159"/>
      <c r="D531" s="159"/>
      <c r="E531" s="159"/>
      <c r="F531" s="159"/>
      <c r="G531" s="159"/>
      <c r="H531" s="159"/>
      <c r="I531" s="159"/>
      <c r="J531" s="159"/>
      <c r="K531" s="159"/>
      <c r="L531" s="159"/>
      <c r="M531" s="159"/>
    </row>
    <row r="532" spans="2:13">
      <c r="B532" s="399"/>
      <c r="C532" s="159"/>
      <c r="D532" s="159"/>
      <c r="E532" s="159"/>
      <c r="F532" s="159"/>
      <c r="G532" s="159"/>
      <c r="H532" s="159"/>
      <c r="I532" s="159"/>
      <c r="J532" s="159"/>
      <c r="K532" s="159"/>
      <c r="L532" s="159"/>
      <c r="M532" s="159"/>
    </row>
    <row r="533" spans="2:13">
      <c r="B533" s="399"/>
      <c r="C533" s="159"/>
      <c r="D533" s="159"/>
      <c r="E533" s="159"/>
      <c r="F533" s="159"/>
      <c r="G533" s="159"/>
      <c r="H533" s="159"/>
      <c r="I533" s="159"/>
      <c r="J533" s="159"/>
      <c r="K533" s="159"/>
      <c r="L533" s="159"/>
      <c r="M533" s="159"/>
    </row>
    <row r="534" spans="2:13">
      <c r="B534" s="399"/>
      <c r="C534" s="159"/>
      <c r="D534" s="159"/>
      <c r="E534" s="159"/>
      <c r="F534" s="159"/>
      <c r="G534" s="159"/>
      <c r="H534" s="159"/>
      <c r="I534" s="159"/>
      <c r="J534" s="159"/>
      <c r="K534" s="159"/>
      <c r="L534" s="159"/>
      <c r="M534" s="159"/>
    </row>
    <row r="535" spans="2:13">
      <c r="B535" s="399"/>
      <c r="C535" s="159"/>
      <c r="D535" s="159"/>
      <c r="E535" s="159"/>
      <c r="F535" s="159"/>
      <c r="G535" s="159"/>
      <c r="H535" s="159"/>
      <c r="I535" s="159"/>
      <c r="J535" s="159"/>
      <c r="K535" s="159"/>
      <c r="L535" s="159"/>
      <c r="M535" s="159"/>
    </row>
    <row r="536" spans="2:13">
      <c r="B536" s="399"/>
      <c r="C536" s="159"/>
      <c r="D536" s="159"/>
      <c r="E536" s="159"/>
      <c r="F536" s="159"/>
      <c r="G536" s="159"/>
      <c r="H536" s="159"/>
      <c r="I536" s="159"/>
      <c r="J536" s="159"/>
      <c r="K536" s="159"/>
      <c r="L536" s="159"/>
      <c r="M536" s="159"/>
    </row>
    <row r="537" spans="2:13">
      <c r="B537" s="399"/>
      <c r="C537" s="159"/>
      <c r="D537" s="159"/>
      <c r="E537" s="159"/>
      <c r="F537" s="159"/>
      <c r="G537" s="159"/>
      <c r="H537" s="159"/>
      <c r="I537" s="159"/>
      <c r="J537" s="159"/>
      <c r="K537" s="159"/>
      <c r="L537" s="159"/>
      <c r="M537" s="159"/>
    </row>
    <row r="538" spans="2:13">
      <c r="B538" s="399"/>
      <c r="C538" s="159"/>
      <c r="D538" s="159"/>
      <c r="E538" s="159"/>
      <c r="F538" s="159"/>
      <c r="G538" s="159"/>
      <c r="H538" s="159"/>
      <c r="I538" s="159"/>
      <c r="J538" s="159"/>
      <c r="K538" s="159"/>
      <c r="L538" s="159"/>
      <c r="M538" s="159"/>
    </row>
    <row r="539" spans="2:13">
      <c r="B539" s="399"/>
      <c r="C539" s="159"/>
      <c r="D539" s="159"/>
      <c r="E539" s="159"/>
      <c r="F539" s="159"/>
      <c r="G539" s="159"/>
      <c r="H539" s="159"/>
      <c r="I539" s="159"/>
      <c r="J539" s="159"/>
      <c r="K539" s="159"/>
      <c r="L539" s="159"/>
      <c r="M539" s="159"/>
    </row>
    <row r="540" spans="2:13">
      <c r="B540" s="399"/>
      <c r="C540" s="159"/>
      <c r="D540" s="159"/>
      <c r="E540" s="159"/>
      <c r="F540" s="159"/>
      <c r="G540" s="159"/>
      <c r="H540" s="159"/>
      <c r="I540" s="159"/>
      <c r="J540" s="159"/>
      <c r="K540" s="159"/>
      <c r="L540" s="159"/>
      <c r="M540" s="159"/>
    </row>
    <row r="541" spans="2:13">
      <c r="B541" s="399"/>
      <c r="C541" s="159"/>
      <c r="D541" s="159"/>
      <c r="E541" s="159"/>
      <c r="F541" s="159"/>
      <c r="G541" s="159"/>
      <c r="H541" s="159"/>
      <c r="I541" s="159"/>
      <c r="J541" s="159"/>
      <c r="K541" s="159"/>
      <c r="L541" s="159"/>
      <c r="M541" s="159"/>
    </row>
    <row r="542" spans="2:13">
      <c r="B542" s="399"/>
      <c r="C542" s="159"/>
      <c r="D542" s="159"/>
      <c r="E542" s="159"/>
      <c r="F542" s="159"/>
      <c r="G542" s="159"/>
      <c r="H542" s="159"/>
      <c r="I542" s="159"/>
      <c r="J542" s="159"/>
      <c r="K542" s="159"/>
      <c r="L542" s="159"/>
      <c r="M542" s="159"/>
    </row>
    <row r="543" spans="2:13">
      <c r="B543" s="399"/>
      <c r="C543" s="159"/>
      <c r="D543" s="159"/>
      <c r="E543" s="159"/>
      <c r="F543" s="159"/>
      <c r="G543" s="159"/>
      <c r="H543" s="159"/>
      <c r="I543" s="159"/>
      <c r="J543" s="159"/>
      <c r="K543" s="159"/>
      <c r="L543" s="159"/>
      <c r="M543" s="159"/>
    </row>
    <row r="544" spans="2:13">
      <c r="B544" s="399"/>
      <c r="C544" s="159"/>
      <c r="D544" s="159"/>
      <c r="E544" s="159"/>
      <c r="F544" s="159"/>
      <c r="G544" s="159"/>
      <c r="H544" s="159"/>
      <c r="I544" s="159"/>
      <c r="J544" s="159"/>
      <c r="K544" s="159"/>
      <c r="L544" s="159"/>
      <c r="M544" s="159"/>
    </row>
    <row r="545" spans="2:13">
      <c r="B545" s="399"/>
      <c r="C545" s="159"/>
      <c r="D545" s="159"/>
      <c r="E545" s="159"/>
      <c r="F545" s="159"/>
      <c r="G545" s="159"/>
      <c r="H545" s="159"/>
      <c r="I545" s="159"/>
      <c r="J545" s="159"/>
      <c r="K545" s="159"/>
      <c r="L545" s="159"/>
      <c r="M545" s="159"/>
    </row>
    <row r="546" spans="2:13">
      <c r="B546" s="399"/>
      <c r="C546" s="159"/>
      <c r="D546" s="159"/>
      <c r="E546" s="159"/>
      <c r="F546" s="159"/>
      <c r="G546" s="159"/>
      <c r="H546" s="159"/>
      <c r="I546" s="159"/>
      <c r="J546" s="159"/>
      <c r="K546" s="159"/>
      <c r="L546" s="159"/>
      <c r="M546" s="159"/>
    </row>
    <row r="547" spans="2:13">
      <c r="B547" s="399"/>
      <c r="C547" s="159"/>
      <c r="D547" s="159"/>
      <c r="E547" s="159"/>
      <c r="F547" s="159"/>
      <c r="G547" s="159"/>
      <c r="H547" s="159"/>
      <c r="I547" s="159"/>
      <c r="J547" s="159"/>
      <c r="K547" s="159"/>
      <c r="L547" s="159"/>
      <c r="M547" s="159"/>
    </row>
    <row r="548" spans="2:13">
      <c r="B548" s="399"/>
      <c r="C548" s="159"/>
      <c r="D548" s="159"/>
      <c r="E548" s="159"/>
      <c r="F548" s="159"/>
      <c r="G548" s="159"/>
      <c r="H548" s="159"/>
      <c r="I548" s="159"/>
      <c r="J548" s="159"/>
      <c r="K548" s="159"/>
      <c r="L548" s="159"/>
      <c r="M548" s="159"/>
    </row>
    <row r="549" spans="2:13">
      <c r="B549" s="399"/>
      <c r="C549" s="159"/>
      <c r="D549" s="159"/>
      <c r="E549" s="159"/>
      <c r="F549" s="159"/>
      <c r="G549" s="159"/>
      <c r="H549" s="159"/>
      <c r="I549" s="159"/>
      <c r="J549" s="159"/>
      <c r="K549" s="159"/>
      <c r="L549" s="159"/>
      <c r="M549" s="159"/>
    </row>
    <row r="550" spans="2:13">
      <c r="B550" s="399"/>
      <c r="C550" s="159"/>
      <c r="D550" s="159"/>
      <c r="E550" s="159"/>
      <c r="F550" s="159"/>
      <c r="G550" s="159"/>
      <c r="H550" s="159"/>
      <c r="I550" s="159"/>
      <c r="J550" s="159"/>
      <c r="K550" s="159"/>
      <c r="L550" s="159"/>
      <c r="M550" s="159"/>
    </row>
    <row r="551" spans="2:13">
      <c r="B551" s="399"/>
      <c r="C551" s="159"/>
      <c r="D551" s="159"/>
      <c r="E551" s="159"/>
      <c r="F551" s="159"/>
      <c r="G551" s="159"/>
      <c r="H551" s="159"/>
      <c r="I551" s="159"/>
      <c r="J551" s="159"/>
      <c r="K551" s="159"/>
      <c r="L551" s="159"/>
      <c r="M551" s="159"/>
    </row>
    <row r="552" spans="2:13">
      <c r="B552" s="399"/>
      <c r="C552" s="159"/>
      <c r="D552" s="159"/>
      <c r="E552" s="159"/>
      <c r="F552" s="159"/>
      <c r="G552" s="159"/>
      <c r="H552" s="159"/>
      <c r="I552" s="159"/>
      <c r="J552" s="159"/>
      <c r="K552" s="159"/>
      <c r="L552" s="159"/>
      <c r="M552" s="159"/>
    </row>
    <row r="553" spans="2:13">
      <c r="B553" s="399"/>
      <c r="C553" s="159"/>
      <c r="D553" s="159"/>
      <c r="E553" s="159"/>
      <c r="F553" s="159"/>
      <c r="G553" s="159"/>
      <c r="H553" s="159"/>
      <c r="I553" s="159"/>
      <c r="J553" s="159"/>
      <c r="K553" s="159"/>
      <c r="L553" s="159"/>
      <c r="M553" s="159"/>
    </row>
    <row r="554" spans="2:13">
      <c r="B554" s="399"/>
      <c r="C554" s="159"/>
      <c r="D554" s="159"/>
      <c r="E554" s="159"/>
      <c r="F554" s="159"/>
      <c r="G554" s="159"/>
      <c r="H554" s="159"/>
      <c r="I554" s="159"/>
      <c r="J554" s="159"/>
      <c r="K554" s="159"/>
      <c r="L554" s="159"/>
      <c r="M554" s="159"/>
    </row>
    <row r="555" spans="2:13">
      <c r="B555" s="399"/>
      <c r="C555" s="159"/>
      <c r="D555" s="159"/>
      <c r="E555" s="159"/>
      <c r="F555" s="159"/>
      <c r="G555" s="159"/>
      <c r="H555" s="159"/>
      <c r="I555" s="159"/>
      <c r="J555" s="159"/>
      <c r="K555" s="159"/>
      <c r="L555" s="159"/>
      <c r="M555" s="159"/>
    </row>
    <row r="556" spans="2:13">
      <c r="B556" s="399"/>
      <c r="C556" s="159"/>
      <c r="D556" s="159"/>
      <c r="E556" s="159"/>
      <c r="F556" s="159"/>
      <c r="G556" s="159"/>
      <c r="H556" s="159"/>
      <c r="I556" s="159"/>
      <c r="J556" s="159"/>
      <c r="K556" s="159"/>
      <c r="L556" s="159"/>
      <c r="M556" s="159"/>
    </row>
    <row r="557" spans="2:13">
      <c r="B557" s="399"/>
      <c r="C557" s="159"/>
      <c r="D557" s="159"/>
      <c r="E557" s="159"/>
      <c r="F557" s="159"/>
      <c r="G557" s="159"/>
      <c r="H557" s="159"/>
      <c r="I557" s="159"/>
      <c r="J557" s="159"/>
      <c r="K557" s="159"/>
      <c r="L557" s="159"/>
      <c r="M557" s="159"/>
    </row>
    <row r="558" spans="2:13">
      <c r="B558" s="399"/>
      <c r="C558" s="159"/>
      <c r="D558" s="159"/>
      <c r="E558" s="159"/>
      <c r="F558" s="159"/>
      <c r="G558" s="159"/>
      <c r="H558" s="159"/>
      <c r="I558" s="159"/>
      <c r="J558" s="159"/>
      <c r="K558" s="159"/>
      <c r="L558" s="159"/>
      <c r="M558" s="159"/>
    </row>
    <row r="559" spans="2:13">
      <c r="B559" s="399"/>
      <c r="C559" s="159"/>
      <c r="D559" s="159"/>
      <c r="E559" s="159"/>
      <c r="F559" s="159"/>
      <c r="G559" s="159"/>
      <c r="H559" s="159"/>
      <c r="I559" s="159"/>
      <c r="J559" s="159"/>
      <c r="K559" s="159"/>
      <c r="L559" s="159"/>
      <c r="M559" s="159"/>
    </row>
    <row r="560" spans="2:13">
      <c r="B560" s="399"/>
      <c r="C560" s="159"/>
      <c r="D560" s="159"/>
      <c r="E560" s="159"/>
      <c r="F560" s="159"/>
      <c r="G560" s="159"/>
      <c r="H560" s="159"/>
      <c r="I560" s="159"/>
      <c r="J560" s="159"/>
      <c r="K560" s="159"/>
      <c r="L560" s="159"/>
      <c r="M560" s="159"/>
    </row>
    <row r="561" spans="2:13">
      <c r="B561" s="399"/>
      <c r="C561" s="159"/>
      <c r="D561" s="159"/>
      <c r="E561" s="159"/>
      <c r="F561" s="159"/>
      <c r="G561" s="159"/>
      <c r="H561" s="159"/>
      <c r="I561" s="159"/>
      <c r="J561" s="159"/>
      <c r="K561" s="159"/>
      <c r="L561" s="159"/>
      <c r="M561" s="159"/>
    </row>
    <row r="562" spans="2:13">
      <c r="B562" s="399"/>
      <c r="C562" s="159"/>
      <c r="D562" s="159"/>
      <c r="E562" s="159"/>
      <c r="F562" s="159"/>
      <c r="G562" s="159"/>
      <c r="H562" s="159"/>
      <c r="I562" s="159"/>
      <c r="J562" s="159"/>
      <c r="K562" s="159"/>
      <c r="L562" s="159"/>
      <c r="M562" s="159"/>
    </row>
    <row r="563" spans="2:13">
      <c r="B563" s="399"/>
      <c r="C563" s="159"/>
      <c r="D563" s="159"/>
      <c r="E563" s="159"/>
      <c r="F563" s="159"/>
      <c r="G563" s="159"/>
      <c r="H563" s="159"/>
      <c r="I563" s="159"/>
      <c r="J563" s="159"/>
      <c r="K563" s="159"/>
      <c r="L563" s="159"/>
      <c r="M563" s="159"/>
    </row>
    <row r="564" spans="2:13">
      <c r="B564" s="399"/>
      <c r="C564" s="159"/>
      <c r="D564" s="159"/>
      <c r="E564" s="159"/>
      <c r="F564" s="159"/>
      <c r="G564" s="159"/>
      <c r="H564" s="159"/>
      <c r="I564" s="159"/>
      <c r="J564" s="159"/>
      <c r="K564" s="159"/>
      <c r="L564" s="159"/>
      <c r="M564" s="159"/>
    </row>
    <row r="565" spans="2:13">
      <c r="B565" s="399"/>
      <c r="C565" s="159"/>
      <c r="D565" s="159"/>
      <c r="E565" s="159"/>
      <c r="F565" s="159"/>
      <c r="G565" s="159"/>
      <c r="H565" s="159"/>
      <c r="I565" s="159"/>
      <c r="J565" s="159"/>
      <c r="K565" s="159"/>
      <c r="L565" s="159"/>
      <c r="M565" s="159"/>
    </row>
    <row r="566" spans="2:13">
      <c r="B566" s="399"/>
      <c r="C566" s="159"/>
      <c r="D566" s="159"/>
      <c r="E566" s="159"/>
      <c r="F566" s="159"/>
      <c r="G566" s="159"/>
      <c r="H566" s="159"/>
      <c r="I566" s="159"/>
      <c r="J566" s="159"/>
      <c r="K566" s="159"/>
      <c r="L566" s="159"/>
      <c r="M566" s="159"/>
    </row>
    <row r="567" spans="2:13">
      <c r="B567" s="399"/>
      <c r="C567" s="159"/>
      <c r="D567" s="159"/>
      <c r="E567" s="159"/>
      <c r="F567" s="159"/>
      <c r="G567" s="159"/>
      <c r="H567" s="159"/>
      <c r="I567" s="159"/>
      <c r="J567" s="159"/>
      <c r="K567" s="159"/>
      <c r="L567" s="159"/>
      <c r="M567" s="159"/>
    </row>
    <row r="568" spans="2:13">
      <c r="B568" s="399"/>
      <c r="C568" s="159"/>
      <c r="D568" s="159"/>
      <c r="E568" s="159"/>
      <c r="F568" s="159"/>
      <c r="G568" s="159"/>
      <c r="H568" s="159"/>
      <c r="I568" s="159"/>
      <c r="J568" s="159"/>
      <c r="K568" s="159"/>
      <c r="L568" s="159"/>
      <c r="M568" s="159"/>
    </row>
    <row r="569" spans="2:13">
      <c r="B569" s="399"/>
      <c r="C569" s="159"/>
      <c r="D569" s="159"/>
      <c r="E569" s="159"/>
      <c r="F569" s="159"/>
      <c r="G569" s="159"/>
      <c r="H569" s="159"/>
      <c r="I569" s="159"/>
      <c r="J569" s="159"/>
      <c r="K569" s="159"/>
      <c r="L569" s="159"/>
      <c r="M569" s="159"/>
    </row>
    <row r="570" spans="2:13">
      <c r="B570" s="399"/>
      <c r="C570" s="159"/>
      <c r="D570" s="159"/>
      <c r="E570" s="159"/>
      <c r="F570" s="159"/>
      <c r="G570" s="159"/>
      <c r="H570" s="159"/>
      <c r="I570" s="159"/>
      <c r="J570" s="159"/>
      <c r="K570" s="159"/>
      <c r="L570" s="159"/>
      <c r="M570" s="159"/>
    </row>
    <row r="571" spans="2:13">
      <c r="B571" s="399"/>
      <c r="C571" s="159"/>
      <c r="D571" s="159"/>
      <c r="E571" s="159"/>
      <c r="F571" s="159"/>
      <c r="G571" s="159"/>
      <c r="H571" s="159"/>
      <c r="I571" s="159"/>
      <c r="J571" s="159"/>
      <c r="K571" s="159"/>
      <c r="L571" s="159"/>
      <c r="M571" s="159"/>
    </row>
    <row r="572" spans="2:13">
      <c r="B572" s="399"/>
      <c r="C572" s="159"/>
      <c r="D572" s="159"/>
      <c r="E572" s="159"/>
      <c r="F572" s="159"/>
      <c r="G572" s="159"/>
      <c r="H572" s="159"/>
      <c r="I572" s="159"/>
      <c r="J572" s="159"/>
      <c r="K572" s="159"/>
      <c r="L572" s="159"/>
      <c r="M572" s="159"/>
    </row>
    <row r="573" spans="2:13">
      <c r="B573" s="399"/>
      <c r="C573" s="159"/>
      <c r="D573" s="159"/>
      <c r="E573" s="159"/>
      <c r="F573" s="159"/>
      <c r="G573" s="159"/>
      <c r="H573" s="159"/>
      <c r="I573" s="159"/>
      <c r="J573" s="159"/>
      <c r="K573" s="159"/>
      <c r="L573" s="159"/>
      <c r="M573" s="159"/>
    </row>
    <row r="574" spans="2:13">
      <c r="B574" s="399"/>
      <c r="C574" s="159"/>
      <c r="D574" s="159"/>
      <c r="E574" s="159"/>
      <c r="F574" s="159"/>
      <c r="G574" s="159"/>
      <c r="H574" s="159"/>
      <c r="I574" s="159"/>
      <c r="J574" s="159"/>
      <c r="K574" s="159"/>
      <c r="L574" s="159"/>
      <c r="M574" s="159"/>
    </row>
    <row r="575" spans="2:13">
      <c r="B575" s="399"/>
      <c r="C575" s="159"/>
      <c r="D575" s="159"/>
      <c r="E575" s="159"/>
      <c r="F575" s="159"/>
      <c r="G575" s="159"/>
      <c r="H575" s="159"/>
      <c r="I575" s="159"/>
      <c r="J575" s="159"/>
      <c r="K575" s="159"/>
      <c r="L575" s="159"/>
      <c r="M575" s="159"/>
    </row>
    <row r="576" spans="2:13">
      <c r="B576" s="399"/>
      <c r="C576" s="159"/>
      <c r="D576" s="159"/>
      <c r="E576" s="159"/>
      <c r="F576" s="159"/>
      <c r="G576" s="159"/>
      <c r="H576" s="159"/>
      <c r="I576" s="159"/>
      <c r="J576" s="159"/>
      <c r="K576" s="159"/>
      <c r="L576" s="159"/>
      <c r="M576" s="159"/>
    </row>
    <row r="577" spans="2:13">
      <c r="B577" s="399"/>
      <c r="C577" s="159"/>
      <c r="D577" s="159"/>
      <c r="E577" s="159"/>
      <c r="F577" s="159"/>
      <c r="G577" s="159"/>
      <c r="H577" s="159"/>
      <c r="I577" s="159"/>
      <c r="J577" s="159"/>
      <c r="K577" s="159"/>
      <c r="L577" s="159"/>
      <c r="M577" s="159"/>
    </row>
    <row r="578" spans="2:13">
      <c r="B578" s="399"/>
      <c r="C578" s="159"/>
      <c r="D578" s="159"/>
      <c r="E578" s="159"/>
      <c r="F578" s="159"/>
      <c r="G578" s="159"/>
      <c r="H578" s="159"/>
      <c r="I578" s="159"/>
      <c r="J578" s="159"/>
      <c r="K578" s="159"/>
      <c r="L578" s="159"/>
      <c r="M578" s="159"/>
    </row>
    <row r="579" spans="2:13">
      <c r="B579" s="399"/>
      <c r="C579" s="159"/>
      <c r="D579" s="159"/>
      <c r="E579" s="159"/>
      <c r="F579" s="159"/>
      <c r="G579" s="159"/>
      <c r="H579" s="159"/>
      <c r="I579" s="159"/>
      <c r="J579" s="159"/>
      <c r="K579" s="159"/>
      <c r="L579" s="159"/>
      <c r="M579" s="159"/>
    </row>
    <row r="580" spans="2:13">
      <c r="B580" s="399"/>
      <c r="C580" s="159"/>
      <c r="D580" s="159"/>
      <c r="E580" s="159"/>
      <c r="F580" s="159"/>
      <c r="G580" s="159"/>
      <c r="H580" s="159"/>
      <c r="I580" s="159"/>
      <c r="J580" s="159"/>
      <c r="K580" s="159"/>
      <c r="L580" s="159"/>
      <c r="M580" s="159"/>
    </row>
    <row r="581" spans="2:13">
      <c r="B581" s="399"/>
      <c r="C581" s="159"/>
      <c r="D581" s="159"/>
      <c r="E581" s="159"/>
      <c r="F581" s="159"/>
      <c r="G581" s="159"/>
      <c r="H581" s="159"/>
      <c r="I581" s="159"/>
      <c r="J581" s="159"/>
      <c r="K581" s="159"/>
      <c r="L581" s="159"/>
      <c r="M581" s="159"/>
    </row>
    <row r="582" spans="2:13">
      <c r="B582" s="399"/>
      <c r="C582" s="159"/>
      <c r="D582" s="159"/>
      <c r="E582" s="159"/>
      <c r="F582" s="159"/>
      <c r="G582" s="159"/>
      <c r="H582" s="159"/>
      <c r="I582" s="159"/>
      <c r="J582" s="159"/>
      <c r="K582" s="159"/>
      <c r="L582" s="159"/>
      <c r="M582" s="159"/>
    </row>
    <row r="583" spans="2:13">
      <c r="B583" s="399"/>
      <c r="C583" s="159"/>
      <c r="D583" s="159"/>
      <c r="E583" s="159"/>
      <c r="F583" s="159"/>
      <c r="G583" s="159"/>
      <c r="H583" s="159"/>
      <c r="I583" s="159"/>
      <c r="J583" s="159"/>
      <c r="K583" s="159"/>
      <c r="L583" s="159"/>
      <c r="M583" s="159"/>
    </row>
    <row r="584" spans="2:13">
      <c r="B584" s="399"/>
      <c r="C584" s="159"/>
      <c r="D584" s="159"/>
      <c r="E584" s="159"/>
      <c r="F584" s="159"/>
      <c r="G584" s="159"/>
      <c r="H584" s="159"/>
      <c r="I584" s="159"/>
      <c r="J584" s="159"/>
      <c r="K584" s="159"/>
      <c r="L584" s="159"/>
      <c r="M584" s="159"/>
    </row>
    <row r="585" spans="2:13">
      <c r="B585" s="399"/>
      <c r="C585" s="159"/>
      <c r="D585" s="159"/>
      <c r="E585" s="159"/>
      <c r="F585" s="159"/>
      <c r="G585" s="159"/>
      <c r="H585" s="159"/>
      <c r="I585" s="159"/>
      <c r="J585" s="159"/>
      <c r="K585" s="159"/>
      <c r="L585" s="159"/>
      <c r="M585" s="159"/>
    </row>
    <row r="586" spans="2:13">
      <c r="B586" s="399"/>
      <c r="C586" s="159"/>
      <c r="D586" s="159"/>
      <c r="E586" s="159"/>
      <c r="F586" s="159"/>
      <c r="G586" s="159"/>
      <c r="H586" s="159"/>
      <c r="I586" s="159"/>
      <c r="J586" s="159"/>
      <c r="K586" s="159"/>
      <c r="L586" s="159"/>
      <c r="M586" s="159"/>
    </row>
    <row r="587" spans="2:13">
      <c r="B587" s="399"/>
      <c r="C587" s="159"/>
      <c r="D587" s="159"/>
      <c r="E587" s="159"/>
      <c r="F587" s="159"/>
      <c r="G587" s="159"/>
      <c r="H587" s="159"/>
      <c r="I587" s="159"/>
      <c r="J587" s="159"/>
      <c r="K587" s="159"/>
      <c r="L587" s="159"/>
      <c r="M587" s="159"/>
    </row>
    <row r="588" spans="2:13">
      <c r="B588" s="399"/>
      <c r="C588" s="159"/>
      <c r="D588" s="159"/>
      <c r="E588" s="159"/>
      <c r="F588" s="159"/>
      <c r="G588" s="159"/>
      <c r="H588" s="159"/>
      <c r="I588" s="159"/>
      <c r="J588" s="159"/>
      <c r="K588" s="159"/>
      <c r="L588" s="159"/>
      <c r="M588" s="159"/>
    </row>
    <row r="589" spans="2:13">
      <c r="B589" s="399"/>
      <c r="C589" s="159"/>
      <c r="D589" s="159"/>
      <c r="E589" s="159"/>
      <c r="F589" s="159"/>
      <c r="G589" s="159"/>
      <c r="H589" s="159"/>
      <c r="I589" s="159"/>
      <c r="J589" s="159"/>
      <c r="K589" s="159"/>
      <c r="L589" s="159"/>
      <c r="M589" s="159"/>
    </row>
    <row r="590" spans="2:13">
      <c r="B590" s="399"/>
      <c r="C590" s="159"/>
      <c r="D590" s="159"/>
      <c r="E590" s="159"/>
      <c r="F590" s="159"/>
      <c r="G590" s="159"/>
      <c r="H590" s="159"/>
      <c r="I590" s="159"/>
      <c r="J590" s="159"/>
      <c r="K590" s="159"/>
      <c r="L590" s="159"/>
      <c r="M590" s="159"/>
    </row>
    <row r="591" spans="2:13">
      <c r="B591" s="399"/>
      <c r="C591" s="159"/>
      <c r="D591" s="159"/>
      <c r="E591" s="159"/>
      <c r="F591" s="159"/>
      <c r="G591" s="159"/>
      <c r="H591" s="159"/>
      <c r="I591" s="159"/>
      <c r="J591" s="159"/>
      <c r="K591" s="159"/>
      <c r="L591" s="159"/>
      <c r="M591" s="159"/>
    </row>
    <row r="592" spans="2:13">
      <c r="B592" s="399"/>
      <c r="C592" s="159"/>
      <c r="D592" s="159"/>
      <c r="E592" s="159"/>
      <c r="F592" s="159"/>
      <c r="G592" s="159"/>
      <c r="H592" s="159"/>
      <c r="I592" s="159"/>
      <c r="J592" s="159"/>
      <c r="K592" s="159"/>
      <c r="L592" s="159"/>
      <c r="M592" s="159"/>
    </row>
    <row r="593" spans="2:13">
      <c r="B593" s="399"/>
      <c r="C593" s="159"/>
      <c r="D593" s="159"/>
      <c r="E593" s="159"/>
      <c r="F593" s="159"/>
      <c r="G593" s="159"/>
      <c r="H593" s="159"/>
      <c r="I593" s="159"/>
      <c r="J593" s="159"/>
      <c r="K593" s="159"/>
      <c r="L593" s="159"/>
      <c r="M593" s="159"/>
    </row>
    <row r="594" spans="2:13">
      <c r="B594" s="399"/>
      <c r="C594" s="159"/>
      <c r="D594" s="159"/>
      <c r="E594" s="159"/>
      <c r="F594" s="159"/>
      <c r="G594" s="159"/>
      <c r="H594" s="159"/>
      <c r="I594" s="159"/>
      <c r="J594" s="159"/>
      <c r="K594" s="159"/>
      <c r="L594" s="159"/>
      <c r="M594" s="159"/>
    </row>
    <row r="595" spans="2:13">
      <c r="B595" s="399"/>
      <c r="C595" s="159"/>
      <c r="D595" s="159"/>
      <c r="E595" s="159"/>
      <c r="F595" s="159"/>
      <c r="G595" s="159"/>
      <c r="H595" s="159"/>
      <c r="I595" s="159"/>
      <c r="J595" s="159"/>
      <c r="K595" s="159"/>
      <c r="L595" s="159"/>
      <c r="M595" s="159"/>
    </row>
    <row r="596" spans="2:13">
      <c r="B596" s="399"/>
      <c r="C596" s="159"/>
      <c r="D596" s="159"/>
      <c r="E596" s="159"/>
      <c r="F596" s="159"/>
      <c r="G596" s="159"/>
      <c r="H596" s="159"/>
      <c r="I596" s="159"/>
      <c r="J596" s="159"/>
      <c r="K596" s="159"/>
      <c r="L596" s="159"/>
      <c r="M596" s="159"/>
    </row>
    <row r="597" spans="2:13">
      <c r="B597" s="399"/>
      <c r="C597" s="159"/>
      <c r="D597" s="159"/>
      <c r="E597" s="159"/>
      <c r="F597" s="159"/>
      <c r="G597" s="159"/>
      <c r="H597" s="159"/>
      <c r="I597" s="159"/>
      <c r="J597" s="159"/>
      <c r="K597" s="159"/>
      <c r="L597" s="159"/>
      <c r="M597" s="159"/>
    </row>
    <row r="598" spans="2:13">
      <c r="B598" s="399"/>
      <c r="C598" s="159"/>
      <c r="D598" s="159"/>
      <c r="E598" s="159"/>
      <c r="F598" s="159"/>
      <c r="G598" s="159"/>
      <c r="H598" s="159"/>
      <c r="I598" s="159"/>
      <c r="J598" s="159"/>
      <c r="K598" s="159"/>
      <c r="L598" s="159"/>
      <c r="M598" s="159"/>
    </row>
    <row r="599" spans="2:13">
      <c r="B599" s="399"/>
      <c r="C599" s="159"/>
      <c r="D599" s="159"/>
      <c r="E599" s="159"/>
      <c r="F599" s="159"/>
      <c r="G599" s="159"/>
      <c r="H599" s="159"/>
      <c r="I599" s="159"/>
      <c r="J599" s="159"/>
      <c r="K599" s="159"/>
      <c r="L599" s="159"/>
      <c r="M599" s="159"/>
    </row>
    <row r="600" spans="2:13">
      <c r="B600" s="399"/>
      <c r="C600" s="159"/>
      <c r="D600" s="159"/>
      <c r="E600" s="159"/>
      <c r="F600" s="159"/>
      <c r="G600" s="159"/>
      <c r="H600" s="159"/>
      <c r="I600" s="159"/>
      <c r="J600" s="159"/>
      <c r="K600" s="159"/>
      <c r="L600" s="159"/>
      <c r="M600" s="159"/>
    </row>
    <row r="601" spans="2:13">
      <c r="B601" s="399"/>
      <c r="C601" s="159"/>
      <c r="D601" s="159"/>
      <c r="E601" s="159"/>
      <c r="F601" s="159"/>
      <c r="G601" s="159"/>
      <c r="H601" s="159"/>
      <c r="I601" s="159"/>
      <c r="J601" s="159"/>
      <c r="K601" s="159"/>
      <c r="L601" s="159"/>
      <c r="M601" s="159"/>
    </row>
    <row r="602" spans="2:13">
      <c r="B602" s="399"/>
      <c r="C602" s="159"/>
      <c r="D602" s="159"/>
      <c r="E602" s="159"/>
      <c r="F602" s="159"/>
      <c r="G602" s="159"/>
      <c r="H602" s="159"/>
      <c r="I602" s="159"/>
      <c r="J602" s="159"/>
      <c r="K602" s="159"/>
      <c r="L602" s="159"/>
      <c r="M602" s="159"/>
    </row>
    <row r="603" spans="2:13">
      <c r="B603" s="399"/>
      <c r="C603" s="159"/>
      <c r="D603" s="159"/>
      <c r="E603" s="159"/>
      <c r="F603" s="159"/>
      <c r="G603" s="159"/>
      <c r="H603" s="159"/>
      <c r="I603" s="159"/>
      <c r="J603" s="159"/>
      <c r="K603" s="159"/>
      <c r="L603" s="159"/>
      <c r="M603" s="159"/>
    </row>
    <row r="604" spans="2:13">
      <c r="B604" s="399"/>
      <c r="C604" s="159"/>
      <c r="D604" s="159"/>
      <c r="E604" s="159"/>
      <c r="F604" s="159"/>
      <c r="G604" s="159"/>
      <c r="H604" s="159"/>
      <c r="I604" s="159"/>
      <c r="J604" s="159"/>
      <c r="K604" s="159"/>
      <c r="L604" s="159"/>
      <c r="M604" s="159"/>
    </row>
    <row r="605" spans="2:13">
      <c r="B605" s="399"/>
      <c r="C605" s="159"/>
      <c r="D605" s="159"/>
      <c r="E605" s="159"/>
      <c r="F605" s="159"/>
      <c r="G605" s="159"/>
      <c r="H605" s="159"/>
      <c r="I605" s="159"/>
      <c r="J605" s="159"/>
      <c r="K605" s="159"/>
      <c r="L605" s="159"/>
      <c r="M605" s="159"/>
    </row>
    <row r="606" spans="2:13">
      <c r="B606" s="399"/>
      <c r="C606" s="159"/>
      <c r="D606" s="159"/>
      <c r="E606" s="159"/>
      <c r="F606" s="159"/>
      <c r="G606" s="159"/>
      <c r="H606" s="159"/>
      <c r="I606" s="159"/>
      <c r="J606" s="159"/>
      <c r="K606" s="159"/>
      <c r="L606" s="159"/>
      <c r="M606" s="159"/>
    </row>
    <row r="607" spans="2:13">
      <c r="B607" s="399"/>
      <c r="C607" s="159"/>
      <c r="D607" s="159"/>
      <c r="E607" s="159"/>
      <c r="F607" s="159"/>
      <c r="G607" s="159"/>
      <c r="H607" s="159"/>
      <c r="I607" s="159"/>
      <c r="J607" s="159"/>
      <c r="K607" s="159"/>
      <c r="L607" s="159"/>
      <c r="M607" s="159"/>
    </row>
    <row r="608" spans="2:13">
      <c r="B608" s="399"/>
      <c r="C608" s="159"/>
      <c r="D608" s="159"/>
      <c r="E608" s="159"/>
      <c r="F608" s="159"/>
      <c r="G608" s="159"/>
      <c r="H608" s="159"/>
      <c r="I608" s="159"/>
      <c r="J608" s="159"/>
      <c r="K608" s="159"/>
      <c r="L608" s="159"/>
      <c r="M608" s="159"/>
    </row>
    <row r="609" spans="2:13">
      <c r="B609" s="399"/>
      <c r="C609" s="159"/>
      <c r="D609" s="159"/>
      <c r="E609" s="159"/>
      <c r="F609" s="159"/>
      <c r="G609" s="159"/>
      <c r="H609" s="159"/>
      <c r="I609" s="159"/>
      <c r="J609" s="159"/>
      <c r="K609" s="159"/>
      <c r="L609" s="159"/>
      <c r="M609" s="159"/>
    </row>
    <row r="610" spans="2:13">
      <c r="B610" s="399"/>
      <c r="C610" s="159"/>
      <c r="D610" s="159"/>
      <c r="E610" s="159"/>
      <c r="F610" s="159"/>
      <c r="G610" s="159"/>
      <c r="H610" s="159"/>
      <c r="I610" s="159"/>
      <c r="J610" s="159"/>
      <c r="K610" s="159"/>
      <c r="L610" s="159"/>
      <c r="M610" s="159"/>
    </row>
    <row r="611" spans="2:13">
      <c r="B611" s="399"/>
      <c r="C611" s="159"/>
      <c r="D611" s="159"/>
      <c r="E611" s="159"/>
      <c r="F611" s="159"/>
      <c r="G611" s="159"/>
      <c r="H611" s="159"/>
      <c r="I611" s="159"/>
      <c r="J611" s="159"/>
      <c r="K611" s="159"/>
      <c r="L611" s="159"/>
      <c r="M611" s="159"/>
    </row>
    <row r="612" spans="2:13">
      <c r="B612" s="399"/>
      <c r="C612" s="159"/>
      <c r="D612" s="159"/>
      <c r="E612" s="159"/>
      <c r="F612" s="159"/>
      <c r="G612" s="159"/>
      <c r="H612" s="159"/>
      <c r="I612" s="159"/>
      <c r="J612" s="159"/>
      <c r="K612" s="159"/>
      <c r="L612" s="159"/>
      <c r="M612" s="159"/>
    </row>
    <row r="613" spans="2:13">
      <c r="B613" s="399"/>
      <c r="C613" s="159"/>
      <c r="D613" s="159"/>
      <c r="E613" s="159"/>
      <c r="F613" s="159"/>
      <c r="G613" s="159"/>
      <c r="H613" s="159"/>
      <c r="I613" s="159"/>
      <c r="J613" s="159"/>
      <c r="K613" s="159"/>
      <c r="L613" s="159"/>
      <c r="M613" s="159"/>
    </row>
    <row r="614" spans="2:13">
      <c r="B614" s="399"/>
      <c r="C614" s="159"/>
      <c r="D614" s="159"/>
      <c r="E614" s="159"/>
      <c r="F614" s="159"/>
      <c r="G614" s="159"/>
      <c r="H614" s="159"/>
      <c r="I614" s="159"/>
      <c r="J614" s="159"/>
      <c r="K614" s="159"/>
      <c r="L614" s="159"/>
      <c r="M614" s="159"/>
    </row>
    <row r="615" spans="2:13">
      <c r="B615" s="399"/>
      <c r="C615" s="159"/>
      <c r="D615" s="159"/>
      <c r="E615" s="159"/>
      <c r="F615" s="159"/>
      <c r="G615" s="159"/>
      <c r="H615" s="159"/>
      <c r="I615" s="159"/>
      <c r="J615" s="159"/>
      <c r="K615" s="159"/>
      <c r="L615" s="159"/>
      <c r="M615" s="159"/>
    </row>
    <row r="616" spans="2:13">
      <c r="B616" s="399"/>
      <c r="C616" s="159"/>
      <c r="D616" s="159"/>
      <c r="E616" s="159"/>
      <c r="F616" s="159"/>
      <c r="G616" s="159"/>
      <c r="H616" s="159"/>
      <c r="I616" s="159"/>
      <c r="J616" s="159"/>
      <c r="K616" s="159"/>
      <c r="L616" s="159"/>
      <c r="M616" s="159"/>
    </row>
    <row r="617" spans="2:13">
      <c r="B617" s="399"/>
      <c r="C617" s="159"/>
      <c r="D617" s="159"/>
      <c r="E617" s="159"/>
      <c r="F617" s="159"/>
      <c r="G617" s="159"/>
      <c r="H617" s="159"/>
      <c r="I617" s="159"/>
      <c r="J617" s="159"/>
      <c r="K617" s="159"/>
      <c r="L617" s="159"/>
      <c r="M617" s="159"/>
    </row>
    <row r="618" spans="2:13">
      <c r="B618" s="399"/>
      <c r="C618" s="159"/>
      <c r="D618" s="159"/>
      <c r="E618" s="159"/>
      <c r="F618" s="159"/>
      <c r="G618" s="159"/>
      <c r="H618" s="159"/>
      <c r="I618" s="159"/>
      <c r="J618" s="159"/>
      <c r="K618" s="159"/>
      <c r="L618" s="159"/>
      <c r="M618" s="159"/>
    </row>
    <row r="619" spans="2:13">
      <c r="B619" s="399"/>
      <c r="C619" s="159"/>
      <c r="D619" s="159"/>
      <c r="E619" s="159"/>
      <c r="F619" s="159"/>
      <c r="G619" s="159"/>
      <c r="H619" s="159"/>
      <c r="I619" s="159"/>
      <c r="J619" s="159"/>
      <c r="K619" s="159"/>
      <c r="L619" s="159"/>
      <c r="M619" s="159"/>
    </row>
    <row r="620" spans="2:13">
      <c r="B620" s="399"/>
      <c r="C620" s="159"/>
      <c r="D620" s="159"/>
      <c r="E620" s="159"/>
      <c r="F620" s="159"/>
      <c r="G620" s="159"/>
      <c r="H620" s="159"/>
      <c r="I620" s="159"/>
      <c r="J620" s="159"/>
      <c r="K620" s="159"/>
      <c r="L620" s="159"/>
      <c r="M620" s="159"/>
    </row>
    <row r="621" spans="2:13">
      <c r="B621" s="399"/>
      <c r="C621" s="159"/>
      <c r="D621" s="159"/>
      <c r="E621" s="159"/>
      <c r="F621" s="159"/>
      <c r="G621" s="159"/>
      <c r="H621" s="159"/>
      <c r="I621" s="159"/>
      <c r="J621" s="159"/>
      <c r="K621" s="159"/>
      <c r="L621" s="159"/>
      <c r="M621" s="159"/>
    </row>
    <row r="622" spans="2:13">
      <c r="B622" s="399"/>
      <c r="C622" s="159"/>
      <c r="D622" s="159"/>
      <c r="E622" s="159"/>
      <c r="F622" s="159"/>
      <c r="G622" s="159"/>
      <c r="H622" s="159"/>
      <c r="I622" s="159"/>
      <c r="J622" s="159"/>
      <c r="K622" s="159"/>
      <c r="L622" s="159"/>
      <c r="M622" s="159"/>
    </row>
    <row r="623" spans="2:13">
      <c r="B623" s="399"/>
      <c r="C623" s="159"/>
      <c r="D623" s="159"/>
      <c r="E623" s="159"/>
      <c r="F623" s="159"/>
      <c r="G623" s="159"/>
      <c r="H623" s="159"/>
      <c r="I623" s="159"/>
      <c r="J623" s="159"/>
      <c r="K623" s="159"/>
      <c r="L623" s="159"/>
      <c r="M623" s="159"/>
    </row>
    <row r="624" spans="2:13">
      <c r="B624" s="399"/>
      <c r="C624" s="159"/>
      <c r="D624" s="159"/>
      <c r="E624" s="159"/>
      <c r="F624" s="159"/>
      <c r="G624" s="159"/>
      <c r="H624" s="159"/>
      <c r="I624" s="159"/>
      <c r="J624" s="159"/>
      <c r="K624" s="159"/>
      <c r="L624" s="159"/>
      <c r="M624" s="159"/>
    </row>
    <row r="625" spans="2:13">
      <c r="B625" s="399"/>
      <c r="C625" s="159"/>
      <c r="D625" s="159"/>
      <c r="E625" s="159"/>
      <c r="F625" s="159"/>
      <c r="G625" s="159"/>
      <c r="H625" s="159"/>
      <c r="I625" s="159"/>
      <c r="J625" s="159"/>
      <c r="K625" s="159"/>
      <c r="L625" s="159"/>
      <c r="M625" s="159"/>
    </row>
    <row r="626" spans="2:13">
      <c r="B626" s="399"/>
      <c r="C626" s="159"/>
      <c r="D626" s="159"/>
      <c r="E626" s="159"/>
      <c r="F626" s="159"/>
      <c r="G626" s="159"/>
      <c r="H626" s="159"/>
      <c r="I626" s="159"/>
      <c r="J626" s="159"/>
      <c r="K626" s="159"/>
      <c r="L626" s="159"/>
      <c r="M626" s="159"/>
    </row>
    <row r="627" spans="2:13">
      <c r="B627" s="399"/>
      <c r="C627" s="159"/>
      <c r="D627" s="159"/>
      <c r="E627" s="159"/>
      <c r="F627" s="159"/>
      <c r="G627" s="159"/>
      <c r="H627" s="159"/>
      <c r="I627" s="159"/>
      <c r="J627" s="159"/>
      <c r="K627" s="159"/>
      <c r="L627" s="159"/>
      <c r="M627" s="159"/>
    </row>
    <row r="628" spans="2:13">
      <c r="B628" s="399"/>
      <c r="C628" s="159"/>
      <c r="D628" s="159"/>
      <c r="E628" s="159"/>
      <c r="F628" s="159"/>
      <c r="G628" s="159"/>
      <c r="H628" s="159"/>
      <c r="I628" s="159"/>
      <c r="J628" s="159"/>
      <c r="K628" s="159"/>
      <c r="L628" s="159"/>
      <c r="M628" s="159"/>
    </row>
    <row r="629" spans="2:13">
      <c r="B629" s="399"/>
      <c r="C629" s="159"/>
      <c r="D629" s="159"/>
      <c r="E629" s="159"/>
      <c r="F629" s="159"/>
      <c r="G629" s="159"/>
      <c r="H629" s="159"/>
      <c r="I629" s="159"/>
      <c r="J629" s="159"/>
      <c r="K629" s="159"/>
      <c r="L629" s="159"/>
      <c r="M629" s="159"/>
    </row>
    <row r="630" spans="2:13">
      <c r="B630" s="399"/>
      <c r="C630" s="159"/>
      <c r="D630" s="159"/>
      <c r="E630" s="159"/>
      <c r="F630" s="159"/>
      <c r="G630" s="159"/>
      <c r="H630" s="159"/>
      <c r="I630" s="159"/>
      <c r="J630" s="159"/>
      <c r="K630" s="159"/>
      <c r="L630" s="159"/>
      <c r="M630" s="159"/>
    </row>
    <row r="631" spans="2:13">
      <c r="B631" s="399"/>
      <c r="C631" s="159"/>
      <c r="D631" s="159"/>
      <c r="E631" s="159"/>
      <c r="F631" s="159"/>
      <c r="G631" s="159"/>
      <c r="H631" s="159"/>
      <c r="I631" s="159"/>
      <c r="J631" s="159"/>
      <c r="K631" s="159"/>
      <c r="L631" s="159"/>
      <c r="M631" s="159"/>
    </row>
    <row r="632" spans="2:13">
      <c r="B632" s="399"/>
      <c r="C632" s="159"/>
      <c r="D632" s="159"/>
      <c r="E632" s="159"/>
      <c r="F632" s="159"/>
      <c r="G632" s="159"/>
      <c r="H632" s="159"/>
      <c r="I632" s="159"/>
      <c r="J632" s="159"/>
      <c r="K632" s="159"/>
      <c r="L632" s="159"/>
      <c r="M632" s="159"/>
    </row>
    <row r="633" spans="2:13">
      <c r="B633" s="399"/>
      <c r="C633" s="159"/>
      <c r="D633" s="159"/>
      <c r="E633" s="159"/>
      <c r="F633" s="159"/>
      <c r="G633" s="159"/>
      <c r="H633" s="159"/>
      <c r="I633" s="159"/>
      <c r="J633" s="159"/>
      <c r="K633" s="159"/>
      <c r="L633" s="159"/>
      <c r="M633" s="159"/>
    </row>
    <row r="634" spans="2:13">
      <c r="B634" s="399"/>
      <c r="C634" s="159"/>
      <c r="D634" s="159"/>
      <c r="E634" s="159"/>
      <c r="F634" s="159"/>
      <c r="G634" s="159"/>
      <c r="H634" s="159"/>
      <c r="I634" s="159"/>
      <c r="J634" s="159"/>
      <c r="K634" s="159"/>
      <c r="L634" s="159"/>
      <c r="M634" s="159"/>
    </row>
    <row r="635" spans="2:13">
      <c r="B635" s="399"/>
      <c r="C635" s="159"/>
      <c r="D635" s="159"/>
      <c r="E635" s="159"/>
      <c r="F635" s="159"/>
      <c r="G635" s="159"/>
      <c r="H635" s="159"/>
      <c r="I635" s="159"/>
      <c r="J635" s="159"/>
      <c r="K635" s="159"/>
      <c r="L635" s="159"/>
      <c r="M635" s="159"/>
    </row>
    <row r="636" spans="2:13">
      <c r="B636" s="399"/>
      <c r="C636" s="159"/>
      <c r="D636" s="159"/>
      <c r="E636" s="159"/>
      <c r="F636" s="159"/>
      <c r="G636" s="159"/>
      <c r="H636" s="159"/>
      <c r="I636" s="159"/>
      <c r="J636" s="159"/>
      <c r="K636" s="159"/>
      <c r="L636" s="159"/>
      <c r="M636" s="159"/>
    </row>
    <row r="637" spans="2:13">
      <c r="B637" s="399"/>
      <c r="C637" s="159"/>
      <c r="D637" s="159"/>
      <c r="E637" s="159"/>
      <c r="F637" s="159"/>
      <c r="G637" s="159"/>
      <c r="H637" s="159"/>
      <c r="I637" s="159"/>
      <c r="J637" s="159"/>
      <c r="K637" s="159"/>
      <c r="L637" s="159"/>
      <c r="M637" s="159"/>
    </row>
    <row r="638" spans="2:13">
      <c r="B638" s="399"/>
      <c r="C638" s="159"/>
      <c r="D638" s="159"/>
      <c r="E638" s="159"/>
      <c r="F638" s="159"/>
      <c r="G638" s="159"/>
      <c r="H638" s="159"/>
      <c r="I638" s="159"/>
      <c r="J638" s="159"/>
      <c r="K638" s="159"/>
      <c r="L638" s="159"/>
      <c r="M638" s="159"/>
    </row>
    <row r="639" spans="2:13">
      <c r="B639" s="399"/>
      <c r="C639" s="159"/>
      <c r="D639" s="159"/>
      <c r="E639" s="159"/>
      <c r="F639" s="159"/>
      <c r="G639" s="159"/>
      <c r="H639" s="159"/>
      <c r="I639" s="159"/>
      <c r="J639" s="159"/>
      <c r="K639" s="159"/>
      <c r="L639" s="159"/>
      <c r="M639" s="159"/>
    </row>
    <row r="640" spans="2:13">
      <c r="B640" s="399"/>
      <c r="C640" s="159"/>
      <c r="D640" s="159"/>
      <c r="E640" s="159"/>
      <c r="F640" s="159"/>
      <c r="G640" s="159"/>
      <c r="H640" s="159"/>
      <c r="I640" s="159"/>
      <c r="J640" s="159"/>
      <c r="K640" s="159"/>
      <c r="L640" s="159"/>
      <c r="M640" s="159"/>
    </row>
    <row r="641" spans="2:13">
      <c r="B641" s="399"/>
      <c r="C641" s="159"/>
      <c r="D641" s="159"/>
      <c r="E641" s="159"/>
      <c r="F641" s="159"/>
      <c r="G641" s="159"/>
      <c r="H641" s="159"/>
      <c r="I641" s="159"/>
      <c r="J641" s="159"/>
      <c r="K641" s="159"/>
      <c r="L641" s="159"/>
      <c r="M641" s="159"/>
    </row>
    <row r="642" spans="2:13">
      <c r="B642" s="399"/>
      <c r="C642" s="159"/>
      <c r="D642" s="159"/>
      <c r="E642" s="159"/>
      <c r="F642" s="159"/>
      <c r="G642" s="159"/>
      <c r="H642" s="159"/>
      <c r="I642" s="159"/>
      <c r="J642" s="159"/>
      <c r="K642" s="159"/>
      <c r="L642" s="159"/>
      <c r="M642" s="159"/>
    </row>
    <row r="643" spans="2:13">
      <c r="B643" s="399"/>
      <c r="C643" s="159"/>
      <c r="D643" s="159"/>
      <c r="E643" s="159"/>
      <c r="F643" s="159"/>
      <c r="G643" s="159"/>
      <c r="H643" s="159"/>
      <c r="I643" s="159"/>
      <c r="J643" s="159"/>
      <c r="K643" s="159"/>
      <c r="L643" s="159"/>
      <c r="M643" s="159"/>
    </row>
    <row r="644" spans="2:13">
      <c r="B644" s="399"/>
      <c r="C644" s="159"/>
      <c r="D644" s="159"/>
      <c r="E644" s="159"/>
      <c r="F644" s="159"/>
      <c r="G644" s="159"/>
      <c r="H644" s="159"/>
      <c r="I644" s="159"/>
      <c r="J644" s="159"/>
      <c r="K644" s="159"/>
      <c r="L644" s="159"/>
      <c r="M644" s="159"/>
    </row>
    <row r="645" spans="2:13">
      <c r="B645" s="399"/>
      <c r="C645" s="159"/>
      <c r="D645" s="159"/>
      <c r="E645" s="159"/>
      <c r="F645" s="159"/>
      <c r="G645" s="159"/>
      <c r="H645" s="159"/>
      <c r="I645" s="159"/>
      <c r="J645" s="159"/>
      <c r="K645" s="159"/>
      <c r="L645" s="159"/>
      <c r="M645" s="159"/>
    </row>
    <row r="646" spans="2:13">
      <c r="B646" s="399"/>
      <c r="C646" s="159"/>
      <c r="D646" s="159"/>
      <c r="E646" s="159"/>
      <c r="F646" s="159"/>
      <c r="G646" s="159"/>
      <c r="H646" s="159"/>
      <c r="I646" s="159"/>
      <c r="J646" s="159"/>
      <c r="K646" s="159"/>
      <c r="L646" s="159"/>
      <c r="M646" s="159"/>
    </row>
    <row r="647" spans="2:13">
      <c r="B647" s="399"/>
      <c r="C647" s="159"/>
      <c r="D647" s="159"/>
      <c r="E647" s="159"/>
      <c r="F647" s="159"/>
      <c r="G647" s="159"/>
      <c r="H647" s="159"/>
      <c r="I647" s="159"/>
      <c r="J647" s="159"/>
      <c r="K647" s="159"/>
      <c r="L647" s="159"/>
      <c r="M647" s="159"/>
    </row>
    <row r="648" spans="2:13">
      <c r="B648" s="399"/>
      <c r="C648" s="159"/>
      <c r="D648" s="159"/>
      <c r="E648" s="159"/>
      <c r="F648" s="159"/>
      <c r="G648" s="159"/>
      <c r="H648" s="159"/>
      <c r="I648" s="159"/>
      <c r="J648" s="159"/>
      <c r="K648" s="159"/>
      <c r="L648" s="159"/>
      <c r="M648" s="159"/>
    </row>
    <row r="649" spans="2:13">
      <c r="B649" s="399"/>
      <c r="C649" s="159"/>
      <c r="D649" s="159"/>
      <c r="E649" s="159"/>
      <c r="F649" s="159"/>
      <c r="G649" s="159"/>
      <c r="H649" s="159"/>
      <c r="I649" s="159"/>
      <c r="J649" s="159"/>
      <c r="K649" s="159"/>
      <c r="L649" s="159"/>
      <c r="M649" s="159"/>
    </row>
    <row r="650" spans="2:13">
      <c r="B650" s="399"/>
      <c r="C650" s="159"/>
      <c r="D650" s="159"/>
      <c r="E650" s="159"/>
      <c r="F650" s="159"/>
      <c r="G650" s="159"/>
      <c r="H650" s="159"/>
      <c r="I650" s="159"/>
      <c r="J650" s="159"/>
      <c r="K650" s="159"/>
      <c r="L650" s="159"/>
      <c r="M650" s="159"/>
    </row>
    <row r="651" spans="2:13">
      <c r="B651" s="399"/>
      <c r="C651" s="159"/>
      <c r="D651" s="159"/>
      <c r="E651" s="159"/>
      <c r="F651" s="159"/>
      <c r="G651" s="159"/>
      <c r="H651" s="159"/>
      <c r="I651" s="159"/>
      <c r="J651" s="159"/>
      <c r="K651" s="159"/>
      <c r="L651" s="159"/>
      <c r="M651" s="159"/>
    </row>
    <row r="652" spans="2:13">
      <c r="B652" s="399"/>
      <c r="C652" s="159"/>
      <c r="D652" s="159"/>
      <c r="E652" s="159"/>
      <c r="F652" s="159"/>
      <c r="G652" s="159"/>
      <c r="H652" s="159"/>
      <c r="I652" s="159"/>
      <c r="J652" s="159"/>
      <c r="K652" s="159"/>
      <c r="L652" s="159"/>
      <c r="M652" s="159"/>
    </row>
    <row r="653" spans="2:13">
      <c r="B653" s="399"/>
      <c r="C653" s="159"/>
      <c r="D653" s="159"/>
      <c r="E653" s="159"/>
      <c r="F653" s="159"/>
      <c r="G653" s="159"/>
      <c r="H653" s="159"/>
      <c r="I653" s="159"/>
      <c r="J653" s="159"/>
      <c r="K653" s="159"/>
      <c r="L653" s="159"/>
      <c r="M653" s="159"/>
    </row>
    <row r="654" spans="2:13">
      <c r="B654" s="399"/>
      <c r="C654" s="159"/>
      <c r="D654" s="159"/>
      <c r="E654" s="159"/>
      <c r="F654" s="159"/>
      <c r="G654" s="159"/>
      <c r="H654" s="159"/>
      <c r="I654" s="159"/>
      <c r="J654" s="159"/>
      <c r="K654" s="159"/>
      <c r="L654" s="159"/>
      <c r="M654" s="159"/>
    </row>
    <row r="655" spans="2:13">
      <c r="B655" s="399"/>
      <c r="C655" s="159"/>
      <c r="D655" s="159"/>
      <c r="E655" s="159"/>
      <c r="F655" s="159"/>
      <c r="G655" s="159"/>
      <c r="H655" s="159"/>
      <c r="I655" s="159"/>
      <c r="J655" s="159"/>
      <c r="K655" s="159"/>
      <c r="L655" s="159"/>
      <c r="M655" s="159"/>
    </row>
    <row r="656" spans="2:13">
      <c r="B656" s="399"/>
      <c r="C656" s="159"/>
      <c r="D656" s="159"/>
      <c r="E656" s="159"/>
      <c r="F656" s="159"/>
      <c r="G656" s="159"/>
      <c r="H656" s="159"/>
      <c r="I656" s="159"/>
      <c r="J656" s="159"/>
      <c r="K656" s="159"/>
      <c r="L656" s="159"/>
      <c r="M656" s="159"/>
    </row>
    <row r="657" spans="2:13">
      <c r="B657" s="399"/>
      <c r="C657" s="159"/>
      <c r="D657" s="159"/>
      <c r="E657" s="159"/>
      <c r="F657" s="159"/>
      <c r="G657" s="159"/>
      <c r="H657" s="159"/>
      <c r="I657" s="159"/>
      <c r="J657" s="159"/>
      <c r="K657" s="159"/>
      <c r="L657" s="159"/>
      <c r="M657" s="159"/>
    </row>
    <row r="658" spans="2:13">
      <c r="B658" s="399"/>
      <c r="C658" s="159"/>
      <c r="D658" s="159"/>
      <c r="E658" s="159"/>
      <c r="F658" s="159"/>
      <c r="G658" s="159"/>
      <c r="H658" s="159"/>
      <c r="I658" s="159"/>
      <c r="J658" s="159"/>
      <c r="K658" s="159"/>
      <c r="L658" s="159"/>
      <c r="M658" s="159"/>
    </row>
    <row r="659" spans="2:13">
      <c r="B659" s="399"/>
      <c r="C659" s="159"/>
      <c r="D659" s="159"/>
      <c r="E659" s="159"/>
      <c r="F659" s="159"/>
      <c r="G659" s="159"/>
      <c r="H659" s="159"/>
      <c r="I659" s="159"/>
      <c r="J659" s="159"/>
      <c r="K659" s="159"/>
      <c r="L659" s="159"/>
      <c r="M659" s="159"/>
    </row>
    <row r="660" spans="2:13">
      <c r="B660" s="399"/>
      <c r="C660" s="159"/>
      <c r="D660" s="159"/>
      <c r="E660" s="159"/>
      <c r="F660" s="159"/>
      <c r="G660" s="159"/>
      <c r="H660" s="159"/>
      <c r="I660" s="159"/>
      <c r="J660" s="159"/>
      <c r="K660" s="159"/>
      <c r="L660" s="159"/>
      <c r="M660" s="159"/>
    </row>
    <row r="661" spans="2:13">
      <c r="B661" s="399"/>
      <c r="C661" s="159"/>
      <c r="D661" s="159"/>
      <c r="E661" s="159"/>
      <c r="F661" s="159"/>
      <c r="G661" s="159"/>
      <c r="H661" s="159"/>
      <c r="I661" s="159"/>
      <c r="J661" s="159"/>
      <c r="K661" s="159"/>
      <c r="L661" s="159"/>
      <c r="M661" s="159"/>
    </row>
    <row r="662" spans="2:13">
      <c r="B662" s="399"/>
      <c r="C662" s="159"/>
      <c r="D662" s="159"/>
      <c r="E662" s="159"/>
      <c r="F662" s="159"/>
      <c r="G662" s="159"/>
      <c r="H662" s="159"/>
      <c r="I662" s="159"/>
      <c r="J662" s="159"/>
      <c r="K662" s="159"/>
      <c r="L662" s="159"/>
      <c r="M662" s="159"/>
    </row>
    <row r="663" spans="2:13">
      <c r="B663" s="399"/>
      <c r="C663" s="159"/>
      <c r="D663" s="159"/>
      <c r="E663" s="159"/>
      <c r="F663" s="159"/>
      <c r="G663" s="159"/>
      <c r="H663" s="159"/>
      <c r="I663" s="159"/>
      <c r="J663" s="159"/>
      <c r="K663" s="159"/>
      <c r="L663" s="159"/>
      <c r="M663" s="159"/>
    </row>
    <row r="664" spans="2:13">
      <c r="B664" s="399"/>
      <c r="C664" s="159"/>
      <c r="D664" s="159"/>
      <c r="E664" s="159"/>
      <c r="F664" s="159"/>
      <c r="G664" s="159"/>
      <c r="H664" s="159"/>
      <c r="I664" s="159"/>
      <c r="J664" s="159"/>
      <c r="K664" s="159"/>
      <c r="L664" s="159"/>
      <c r="M664" s="159"/>
    </row>
    <row r="665" spans="2:13">
      <c r="B665" s="399"/>
      <c r="C665" s="159"/>
      <c r="D665" s="159"/>
      <c r="E665" s="159"/>
      <c r="F665" s="159"/>
      <c r="G665" s="159"/>
      <c r="H665" s="159"/>
      <c r="I665" s="159"/>
      <c r="J665" s="159"/>
      <c r="K665" s="159"/>
      <c r="L665" s="159"/>
      <c r="M665" s="159"/>
    </row>
    <row r="666" spans="2:13">
      <c r="B666" s="399"/>
      <c r="C666" s="159"/>
      <c r="D666" s="159"/>
      <c r="E666" s="159"/>
      <c r="F666" s="159"/>
      <c r="G666" s="159"/>
      <c r="H666" s="159"/>
      <c r="I666" s="159"/>
      <c r="J666" s="159"/>
      <c r="K666" s="159"/>
      <c r="L666" s="159"/>
      <c r="M666" s="159"/>
    </row>
    <row r="667" spans="2:13">
      <c r="B667" s="399"/>
      <c r="C667" s="159"/>
      <c r="D667" s="159"/>
      <c r="E667" s="159"/>
      <c r="F667" s="159"/>
      <c r="G667" s="159"/>
      <c r="H667" s="159"/>
      <c r="I667" s="159"/>
      <c r="J667" s="159"/>
      <c r="K667" s="159"/>
      <c r="L667" s="159"/>
      <c r="M667" s="159"/>
    </row>
    <row r="668" spans="2:13">
      <c r="B668" s="399"/>
      <c r="C668" s="159"/>
      <c r="D668" s="159"/>
      <c r="E668" s="159"/>
      <c r="F668" s="159"/>
      <c r="G668" s="159"/>
      <c r="H668" s="159"/>
      <c r="I668" s="159"/>
      <c r="J668" s="159"/>
      <c r="K668" s="159"/>
      <c r="L668" s="159"/>
      <c r="M668" s="159"/>
    </row>
    <row r="669" spans="2:13">
      <c r="B669" s="399"/>
      <c r="C669" s="159"/>
      <c r="D669" s="159"/>
      <c r="E669" s="159"/>
      <c r="F669" s="159"/>
      <c r="G669" s="159"/>
      <c r="H669" s="159"/>
      <c r="I669" s="159"/>
      <c r="J669" s="159"/>
      <c r="K669" s="159"/>
      <c r="L669" s="159"/>
      <c r="M669" s="159"/>
    </row>
    <row r="670" spans="2:13">
      <c r="B670" s="399"/>
      <c r="C670" s="159"/>
      <c r="D670" s="159"/>
      <c r="E670" s="159"/>
      <c r="F670" s="159"/>
      <c r="G670" s="159"/>
      <c r="H670" s="159"/>
      <c r="I670" s="159"/>
      <c r="J670" s="159"/>
      <c r="K670" s="159"/>
      <c r="L670" s="159"/>
      <c r="M670" s="159"/>
    </row>
    <row r="671" spans="2:13">
      <c r="B671" s="399"/>
      <c r="C671" s="159"/>
      <c r="D671" s="159"/>
      <c r="E671" s="159"/>
      <c r="F671" s="159"/>
      <c r="G671" s="159"/>
      <c r="H671" s="159"/>
      <c r="I671" s="159"/>
      <c r="J671" s="159"/>
      <c r="K671" s="159"/>
      <c r="L671" s="159"/>
      <c r="M671" s="159"/>
    </row>
    <row r="672" spans="2:13">
      <c r="B672" s="399"/>
      <c r="C672" s="159"/>
      <c r="D672" s="159"/>
      <c r="E672" s="159"/>
      <c r="F672" s="159"/>
      <c r="G672" s="159"/>
      <c r="H672" s="159"/>
      <c r="I672" s="159"/>
      <c r="J672" s="159"/>
      <c r="K672" s="159"/>
      <c r="L672" s="159"/>
      <c r="M672" s="159"/>
    </row>
    <row r="673" spans="2:13">
      <c r="B673" s="399"/>
      <c r="C673" s="159"/>
      <c r="D673" s="159"/>
      <c r="E673" s="159"/>
      <c r="F673" s="159"/>
      <c r="G673" s="159"/>
      <c r="H673" s="159"/>
      <c r="I673" s="159"/>
      <c r="J673" s="159"/>
      <c r="K673" s="159"/>
      <c r="L673" s="159"/>
      <c r="M673" s="159"/>
    </row>
    <row r="674" spans="2:13">
      <c r="B674" s="399"/>
      <c r="C674" s="159"/>
      <c r="D674" s="159"/>
      <c r="E674" s="159"/>
      <c r="F674" s="159"/>
      <c r="G674" s="159"/>
      <c r="H674" s="159"/>
      <c r="I674" s="159"/>
      <c r="J674" s="159"/>
      <c r="K674" s="159"/>
      <c r="L674" s="159"/>
      <c r="M674" s="159"/>
    </row>
    <row r="675" spans="2:13">
      <c r="B675" s="399"/>
      <c r="C675" s="159"/>
      <c r="D675" s="159"/>
      <c r="E675" s="159"/>
      <c r="F675" s="159"/>
      <c r="G675" s="159"/>
      <c r="H675" s="159"/>
      <c r="I675" s="159"/>
      <c r="J675" s="159"/>
      <c r="K675" s="159"/>
      <c r="L675" s="159"/>
      <c r="M675" s="159"/>
    </row>
    <row r="676" spans="2:13">
      <c r="B676" s="399"/>
      <c r="C676" s="159"/>
      <c r="D676" s="159"/>
      <c r="E676" s="159"/>
      <c r="F676" s="159"/>
      <c r="G676" s="159"/>
      <c r="H676" s="159"/>
      <c r="I676" s="159"/>
      <c r="J676" s="159"/>
      <c r="K676" s="159"/>
      <c r="L676" s="159"/>
      <c r="M676" s="159"/>
    </row>
    <row r="677" spans="2:13">
      <c r="B677" s="399"/>
      <c r="C677" s="159"/>
      <c r="D677" s="159"/>
      <c r="E677" s="159"/>
      <c r="F677" s="159"/>
      <c r="G677" s="159"/>
      <c r="H677" s="159"/>
      <c r="I677" s="159"/>
      <c r="J677" s="159"/>
      <c r="K677" s="159"/>
      <c r="L677" s="159"/>
      <c r="M677" s="159"/>
    </row>
    <row r="678" spans="2:13">
      <c r="B678" s="399"/>
      <c r="C678" s="159"/>
      <c r="D678" s="159"/>
      <c r="E678" s="159"/>
      <c r="F678" s="159"/>
      <c r="G678" s="159"/>
      <c r="H678" s="159"/>
      <c r="I678" s="159"/>
      <c r="J678" s="159"/>
      <c r="K678" s="159"/>
      <c r="L678" s="159"/>
      <c r="M678" s="159"/>
    </row>
    <row r="679" spans="2:13">
      <c r="B679" s="399"/>
      <c r="C679" s="159"/>
      <c r="D679" s="159"/>
      <c r="E679" s="159"/>
      <c r="F679" s="159"/>
      <c r="G679" s="159"/>
      <c r="H679" s="159"/>
      <c r="I679" s="159"/>
      <c r="J679" s="159"/>
      <c r="K679" s="159"/>
      <c r="L679" s="159"/>
      <c r="M679" s="159"/>
    </row>
    <row r="680" spans="2:13">
      <c r="B680" s="399"/>
      <c r="C680" s="159"/>
      <c r="D680" s="159"/>
      <c r="E680" s="159"/>
      <c r="F680" s="159"/>
      <c r="G680" s="159"/>
      <c r="H680" s="159"/>
      <c r="I680" s="159"/>
      <c r="J680" s="159"/>
      <c r="K680" s="159"/>
      <c r="L680" s="159"/>
      <c r="M680" s="159"/>
    </row>
    <row r="681" spans="2:13">
      <c r="B681" s="399"/>
      <c r="C681" s="159"/>
      <c r="D681" s="159"/>
      <c r="E681" s="159"/>
      <c r="F681" s="159"/>
      <c r="G681" s="159"/>
      <c r="H681" s="159"/>
      <c r="I681" s="159"/>
      <c r="J681" s="159"/>
      <c r="K681" s="159"/>
      <c r="L681" s="159"/>
      <c r="M681" s="159"/>
    </row>
    <row r="682" spans="2:13">
      <c r="B682" s="399"/>
      <c r="C682" s="159"/>
      <c r="D682" s="159"/>
      <c r="E682" s="159"/>
      <c r="F682" s="159"/>
      <c r="G682" s="159"/>
      <c r="H682" s="159"/>
      <c r="I682" s="159"/>
      <c r="J682" s="159"/>
      <c r="K682" s="159"/>
      <c r="L682" s="159"/>
      <c r="M682" s="159"/>
    </row>
    <row r="683" spans="2:13">
      <c r="B683" s="399"/>
      <c r="C683" s="159"/>
      <c r="D683" s="159"/>
      <c r="E683" s="159"/>
      <c r="F683" s="159"/>
      <c r="G683" s="159"/>
      <c r="H683" s="159"/>
      <c r="I683" s="159"/>
      <c r="J683" s="159"/>
      <c r="K683" s="159"/>
      <c r="L683" s="159"/>
      <c r="M683" s="159"/>
    </row>
    <row r="684" spans="2:13">
      <c r="B684" s="399"/>
      <c r="C684" s="159"/>
      <c r="D684" s="159"/>
      <c r="E684" s="159"/>
      <c r="F684" s="159"/>
      <c r="G684" s="159"/>
      <c r="H684" s="159"/>
      <c r="I684" s="159"/>
      <c r="J684" s="159"/>
      <c r="K684" s="159"/>
      <c r="L684" s="159"/>
      <c r="M684" s="159"/>
    </row>
    <row r="685" spans="2:13">
      <c r="B685" s="399"/>
      <c r="C685" s="159"/>
      <c r="D685" s="159"/>
      <c r="E685" s="159"/>
      <c r="F685" s="159"/>
      <c r="G685" s="159"/>
      <c r="H685" s="159"/>
      <c r="I685" s="159"/>
      <c r="J685" s="159"/>
      <c r="K685" s="159"/>
      <c r="L685" s="159"/>
      <c r="M685" s="159"/>
    </row>
    <row r="686" spans="2:13">
      <c r="B686" s="399"/>
      <c r="C686" s="159"/>
      <c r="D686" s="159"/>
      <c r="E686" s="159"/>
      <c r="F686" s="159"/>
      <c r="G686" s="159"/>
      <c r="H686" s="159"/>
      <c r="I686" s="159"/>
      <c r="J686" s="159"/>
      <c r="K686" s="159"/>
      <c r="L686" s="159"/>
      <c r="M686" s="159"/>
    </row>
    <row r="687" spans="2:13">
      <c r="B687" s="399"/>
      <c r="C687" s="159"/>
      <c r="D687" s="159"/>
      <c r="E687" s="159"/>
      <c r="F687" s="159"/>
      <c r="G687" s="159"/>
      <c r="H687" s="159"/>
      <c r="I687" s="159"/>
      <c r="J687" s="159"/>
      <c r="K687" s="159"/>
      <c r="L687" s="159"/>
      <c r="M687" s="159"/>
    </row>
    <row r="688" spans="2:13">
      <c r="B688" s="399"/>
      <c r="C688" s="159"/>
      <c r="D688" s="159"/>
      <c r="E688" s="159"/>
      <c r="F688" s="159"/>
      <c r="G688" s="159"/>
      <c r="H688" s="159"/>
      <c r="I688" s="159"/>
      <c r="J688" s="159"/>
      <c r="K688" s="159"/>
      <c r="L688" s="159"/>
      <c r="M688" s="159"/>
    </row>
    <row r="689" spans="2:13">
      <c r="B689" s="399"/>
      <c r="C689" s="159"/>
      <c r="D689" s="159"/>
      <c r="E689" s="159"/>
      <c r="F689" s="159"/>
      <c r="G689" s="159"/>
      <c r="H689" s="159"/>
      <c r="I689" s="159"/>
      <c r="J689" s="159"/>
      <c r="K689" s="159"/>
      <c r="L689" s="159"/>
      <c r="M689" s="159"/>
    </row>
    <row r="690" spans="2:13">
      <c r="B690" s="399"/>
      <c r="C690" s="159"/>
      <c r="D690" s="159"/>
      <c r="E690" s="159"/>
      <c r="F690" s="159"/>
      <c r="G690" s="159"/>
      <c r="H690" s="159"/>
      <c r="I690" s="159"/>
      <c r="J690" s="159"/>
      <c r="K690" s="159"/>
      <c r="L690" s="159"/>
      <c r="M690" s="159"/>
    </row>
    <row r="691" spans="2:13">
      <c r="B691" s="399"/>
      <c r="C691" s="159"/>
      <c r="D691" s="159"/>
      <c r="E691" s="159"/>
      <c r="F691" s="159"/>
      <c r="G691" s="159"/>
      <c r="H691" s="159"/>
      <c r="I691" s="159"/>
      <c r="J691" s="159"/>
      <c r="K691" s="159"/>
      <c r="L691" s="159"/>
      <c r="M691" s="159"/>
    </row>
    <row r="692" spans="2:13">
      <c r="B692" s="399"/>
      <c r="C692" s="159"/>
      <c r="D692" s="159"/>
      <c r="E692" s="159"/>
      <c r="F692" s="159"/>
      <c r="G692" s="159"/>
      <c r="H692" s="159"/>
      <c r="I692" s="159"/>
      <c r="J692" s="159"/>
      <c r="K692" s="159"/>
      <c r="L692" s="159"/>
      <c r="M692" s="159"/>
    </row>
    <row r="693" spans="2:13">
      <c r="B693" s="399"/>
      <c r="C693" s="159"/>
      <c r="D693" s="159"/>
      <c r="E693" s="159"/>
      <c r="F693" s="159"/>
      <c r="G693" s="159"/>
      <c r="H693" s="159"/>
      <c r="I693" s="159"/>
      <c r="J693" s="159"/>
      <c r="K693" s="159"/>
      <c r="L693" s="159"/>
      <c r="M693" s="159"/>
    </row>
    <row r="694" spans="2:13">
      <c r="B694" s="399"/>
      <c r="C694" s="159"/>
      <c r="D694" s="159"/>
      <c r="E694" s="159"/>
      <c r="F694" s="159"/>
      <c r="G694" s="159"/>
      <c r="H694" s="159"/>
      <c r="I694" s="159"/>
      <c r="J694" s="159"/>
      <c r="K694" s="159"/>
      <c r="L694" s="159"/>
      <c r="M694" s="159"/>
    </row>
    <row r="695" spans="2:13">
      <c r="B695" s="399"/>
      <c r="C695" s="159"/>
      <c r="D695" s="159"/>
      <c r="E695" s="159"/>
      <c r="F695" s="159"/>
      <c r="G695" s="159"/>
      <c r="H695" s="159"/>
      <c r="I695" s="159"/>
      <c r="J695" s="159"/>
      <c r="K695" s="159"/>
      <c r="L695" s="159"/>
      <c r="M695" s="159"/>
    </row>
    <row r="696" spans="2:13">
      <c r="B696" s="399"/>
      <c r="C696" s="159"/>
      <c r="D696" s="159"/>
      <c r="E696" s="159"/>
      <c r="F696" s="159"/>
      <c r="G696" s="159"/>
      <c r="H696" s="159"/>
      <c r="I696" s="159"/>
      <c r="J696" s="159"/>
      <c r="K696" s="159"/>
      <c r="L696" s="159"/>
      <c r="M696" s="159"/>
    </row>
    <row r="697" spans="2:13">
      <c r="B697" s="399"/>
      <c r="C697" s="159"/>
      <c r="D697" s="159"/>
      <c r="E697" s="159"/>
      <c r="F697" s="159"/>
      <c r="G697" s="159"/>
      <c r="H697" s="159"/>
      <c r="I697" s="159"/>
      <c r="J697" s="159"/>
      <c r="K697" s="159"/>
      <c r="L697" s="159"/>
      <c r="M697" s="159"/>
    </row>
    <row r="698" spans="2:13">
      <c r="B698" s="399"/>
      <c r="C698" s="159"/>
      <c r="D698" s="159"/>
      <c r="E698" s="159"/>
      <c r="F698" s="159"/>
      <c r="G698" s="159"/>
      <c r="H698" s="159"/>
      <c r="I698" s="159"/>
      <c r="J698" s="159"/>
      <c r="K698" s="159"/>
      <c r="L698" s="159"/>
      <c r="M698" s="159"/>
    </row>
    <row r="699" spans="2:13">
      <c r="B699" s="399"/>
      <c r="C699" s="159"/>
      <c r="D699" s="159"/>
      <c r="E699" s="159"/>
      <c r="F699" s="159"/>
      <c r="G699" s="159"/>
      <c r="H699" s="159"/>
      <c r="I699" s="159"/>
      <c r="J699" s="159"/>
      <c r="K699" s="159"/>
      <c r="L699" s="159"/>
      <c r="M699" s="159"/>
    </row>
    <row r="700" spans="2:13">
      <c r="B700" s="399"/>
      <c r="C700" s="159"/>
      <c r="D700" s="159"/>
      <c r="E700" s="159"/>
      <c r="F700" s="159"/>
      <c r="G700" s="159"/>
      <c r="H700" s="159"/>
      <c r="I700" s="159"/>
      <c r="J700" s="159"/>
      <c r="K700" s="159"/>
      <c r="L700" s="159"/>
      <c r="M700" s="159"/>
    </row>
    <row r="701" spans="2:13">
      <c r="B701" s="399"/>
      <c r="C701" s="159"/>
      <c r="D701" s="159"/>
      <c r="E701" s="159"/>
      <c r="F701" s="159"/>
      <c r="G701" s="159"/>
      <c r="H701" s="159"/>
      <c r="I701" s="159"/>
      <c r="J701" s="159"/>
      <c r="K701" s="159"/>
      <c r="L701" s="159"/>
      <c r="M701" s="159"/>
    </row>
    <row r="702" spans="2:13">
      <c r="B702" s="399"/>
      <c r="C702" s="159"/>
      <c r="D702" s="159"/>
      <c r="E702" s="159"/>
      <c r="F702" s="159"/>
      <c r="G702" s="159"/>
      <c r="H702" s="159"/>
      <c r="I702" s="159"/>
      <c r="J702" s="159"/>
      <c r="K702" s="159"/>
      <c r="L702" s="159"/>
      <c r="M702" s="159"/>
    </row>
    <row r="703" spans="2:13">
      <c r="B703" s="399"/>
      <c r="C703" s="159"/>
      <c r="D703" s="159"/>
      <c r="E703" s="159"/>
      <c r="F703" s="159"/>
      <c r="G703" s="159"/>
      <c r="H703" s="159"/>
      <c r="I703" s="159"/>
      <c r="J703" s="159"/>
      <c r="K703" s="159"/>
      <c r="L703" s="159"/>
      <c r="M703" s="159"/>
    </row>
    <row r="704" spans="2:13">
      <c r="B704" s="399"/>
      <c r="C704" s="159"/>
      <c r="D704" s="159"/>
      <c r="E704" s="159"/>
      <c r="F704" s="159"/>
      <c r="G704" s="159"/>
      <c r="H704" s="159"/>
      <c r="I704" s="159"/>
      <c r="J704" s="159"/>
      <c r="K704" s="159"/>
      <c r="L704" s="159"/>
      <c r="M704" s="159"/>
    </row>
    <row r="705" spans="2:13">
      <c r="B705" s="399"/>
      <c r="C705" s="159"/>
      <c r="D705" s="159"/>
      <c r="E705" s="159"/>
      <c r="F705" s="159"/>
      <c r="G705" s="159"/>
      <c r="H705" s="159"/>
      <c r="I705" s="159"/>
      <c r="J705" s="159"/>
      <c r="K705" s="159"/>
      <c r="L705" s="159"/>
      <c r="M705" s="159"/>
    </row>
    <row r="706" spans="2:13">
      <c r="B706" s="399"/>
      <c r="C706" s="159"/>
      <c r="D706" s="159"/>
      <c r="E706" s="159"/>
      <c r="F706" s="159"/>
      <c r="G706" s="159"/>
      <c r="H706" s="159"/>
      <c r="I706" s="159"/>
      <c r="J706" s="159"/>
      <c r="K706" s="159"/>
      <c r="L706" s="159"/>
      <c r="M706" s="159"/>
    </row>
    <row r="707" spans="2:13">
      <c r="B707" s="399"/>
      <c r="C707" s="159"/>
      <c r="D707" s="159"/>
      <c r="E707" s="159"/>
      <c r="F707" s="159"/>
      <c r="G707" s="159"/>
      <c r="H707" s="159"/>
      <c r="I707" s="159"/>
      <c r="J707" s="159"/>
      <c r="K707" s="159"/>
      <c r="L707" s="159"/>
      <c r="M707" s="159"/>
    </row>
    <row r="708" spans="2:13">
      <c r="B708" s="399"/>
      <c r="C708" s="159"/>
      <c r="D708" s="159"/>
      <c r="E708" s="159"/>
      <c r="F708" s="159"/>
      <c r="G708" s="159"/>
      <c r="H708" s="159"/>
      <c r="I708" s="159"/>
      <c r="J708" s="159"/>
      <c r="K708" s="159"/>
      <c r="L708" s="159"/>
      <c r="M708" s="159"/>
    </row>
    <row r="709" spans="2:13">
      <c r="B709" s="399"/>
      <c r="C709" s="159"/>
      <c r="D709" s="159"/>
      <c r="E709" s="159"/>
      <c r="F709" s="159"/>
      <c r="G709" s="159"/>
      <c r="H709" s="159"/>
      <c r="I709" s="159"/>
      <c r="J709" s="159"/>
      <c r="K709" s="159"/>
      <c r="L709" s="159"/>
      <c r="M709" s="159"/>
    </row>
    <row r="710" spans="2:13">
      <c r="B710" s="399"/>
      <c r="C710" s="159"/>
      <c r="D710" s="159"/>
      <c r="E710" s="159"/>
      <c r="F710" s="159"/>
      <c r="G710" s="159"/>
      <c r="H710" s="159"/>
      <c r="I710" s="159"/>
      <c r="J710" s="159"/>
      <c r="K710" s="159"/>
      <c r="L710" s="159"/>
      <c r="M710" s="159"/>
    </row>
    <row r="711" spans="2:13">
      <c r="B711" s="399"/>
      <c r="C711" s="159"/>
      <c r="D711" s="159"/>
      <c r="E711" s="159"/>
      <c r="F711" s="159"/>
      <c r="G711" s="159"/>
      <c r="H711" s="159"/>
      <c r="I711" s="159"/>
      <c r="J711" s="159"/>
      <c r="K711" s="159"/>
      <c r="L711" s="159"/>
      <c r="M711" s="159"/>
    </row>
    <row r="712" spans="2:13">
      <c r="B712" s="399"/>
      <c r="C712" s="159"/>
      <c r="D712" s="159"/>
      <c r="E712" s="159"/>
      <c r="F712" s="159"/>
      <c r="G712" s="159"/>
      <c r="H712" s="159"/>
      <c r="I712" s="159"/>
      <c r="J712" s="159"/>
      <c r="K712" s="159"/>
      <c r="L712" s="159"/>
      <c r="M712" s="159"/>
    </row>
    <row r="713" spans="2:13">
      <c r="B713" s="399"/>
      <c r="C713" s="159"/>
      <c r="D713" s="159"/>
      <c r="E713" s="159"/>
      <c r="F713" s="159"/>
      <c r="G713" s="159"/>
      <c r="H713" s="159"/>
      <c r="I713" s="159"/>
      <c r="J713" s="159"/>
      <c r="K713" s="159"/>
      <c r="L713" s="159"/>
      <c r="M713" s="159"/>
    </row>
    <row r="714" spans="2:13">
      <c r="B714" s="399"/>
      <c r="C714" s="159"/>
      <c r="D714" s="159"/>
      <c r="E714" s="159"/>
      <c r="F714" s="159"/>
      <c r="G714" s="159"/>
      <c r="H714" s="159"/>
      <c r="I714" s="159"/>
      <c r="J714" s="159"/>
      <c r="K714" s="159"/>
      <c r="L714" s="159"/>
      <c r="M714" s="159"/>
    </row>
    <row r="715" spans="2:13">
      <c r="B715" s="399"/>
      <c r="C715" s="159"/>
      <c r="D715" s="159"/>
      <c r="E715" s="159"/>
      <c r="F715" s="159"/>
      <c r="G715" s="159"/>
      <c r="H715" s="159"/>
      <c r="I715" s="159"/>
      <c r="J715" s="159"/>
      <c r="K715" s="159"/>
      <c r="L715" s="159"/>
      <c r="M715" s="159"/>
    </row>
    <row r="716" spans="2:13">
      <c r="B716" s="399"/>
      <c r="C716" s="159"/>
      <c r="D716" s="159"/>
      <c r="E716" s="159"/>
      <c r="F716" s="159"/>
      <c r="G716" s="159"/>
      <c r="H716" s="159"/>
      <c r="I716" s="159"/>
      <c r="J716" s="159"/>
      <c r="K716" s="159"/>
      <c r="L716" s="159"/>
      <c r="M716" s="159"/>
    </row>
    <row r="717" spans="2:13">
      <c r="B717" s="399"/>
      <c r="C717" s="159"/>
      <c r="D717" s="159"/>
      <c r="E717" s="159"/>
      <c r="F717" s="159"/>
      <c r="G717" s="159"/>
      <c r="H717" s="159"/>
      <c r="I717" s="159"/>
      <c r="J717" s="159"/>
      <c r="K717" s="159"/>
      <c r="L717" s="159"/>
      <c r="M717" s="159"/>
    </row>
    <row r="718" spans="2:13">
      <c r="B718" s="399"/>
      <c r="C718" s="159"/>
      <c r="D718" s="159"/>
      <c r="E718" s="159"/>
      <c r="F718" s="159"/>
      <c r="G718" s="159"/>
      <c r="H718" s="159"/>
      <c r="I718" s="159"/>
      <c r="J718" s="159"/>
      <c r="K718" s="159"/>
      <c r="L718" s="159"/>
      <c r="M718" s="159"/>
    </row>
    <row r="719" spans="2:13">
      <c r="B719" s="399"/>
      <c r="C719" s="159"/>
      <c r="D719" s="159"/>
      <c r="E719" s="159"/>
      <c r="F719" s="159"/>
      <c r="G719" s="159"/>
      <c r="H719" s="159"/>
      <c r="I719" s="159"/>
      <c r="J719" s="159"/>
      <c r="K719" s="159"/>
      <c r="L719" s="159"/>
      <c r="M719" s="159"/>
    </row>
    <row r="720" spans="2:13">
      <c r="B720" s="399"/>
      <c r="C720" s="159"/>
      <c r="D720" s="159"/>
      <c r="E720" s="159"/>
      <c r="F720" s="159"/>
      <c r="G720" s="159"/>
      <c r="H720" s="159"/>
      <c r="I720" s="159"/>
      <c r="J720" s="159"/>
      <c r="K720" s="159"/>
      <c r="L720" s="159"/>
      <c r="M720" s="159"/>
    </row>
    <row r="721" spans="2:13">
      <c r="B721" s="399"/>
      <c r="C721" s="159"/>
      <c r="D721" s="159"/>
      <c r="E721" s="159"/>
      <c r="F721" s="159"/>
      <c r="G721" s="159"/>
      <c r="H721" s="159"/>
      <c r="I721" s="159"/>
      <c r="J721" s="159"/>
      <c r="K721" s="159"/>
      <c r="L721" s="159"/>
      <c r="M721" s="159"/>
    </row>
    <row r="722" spans="2:13">
      <c r="B722" s="399"/>
      <c r="C722" s="159"/>
      <c r="D722" s="159"/>
      <c r="E722" s="159"/>
      <c r="F722" s="159"/>
      <c r="G722" s="159"/>
      <c r="H722" s="159"/>
      <c r="I722" s="159"/>
      <c r="J722" s="159"/>
      <c r="K722" s="159"/>
      <c r="L722" s="159"/>
      <c r="M722" s="159"/>
    </row>
    <row r="723" spans="2:13">
      <c r="B723" s="399"/>
      <c r="C723" s="159"/>
      <c r="D723" s="159"/>
      <c r="E723" s="159"/>
      <c r="F723" s="159"/>
      <c r="G723" s="159"/>
      <c r="H723" s="159"/>
      <c r="I723" s="159"/>
      <c r="J723" s="159"/>
      <c r="K723" s="159"/>
      <c r="L723" s="159"/>
      <c r="M723" s="159"/>
    </row>
    <row r="724" spans="2:13">
      <c r="B724" s="399"/>
      <c r="C724" s="159"/>
      <c r="D724" s="159"/>
      <c r="E724" s="159"/>
      <c r="F724" s="159"/>
      <c r="G724" s="159"/>
      <c r="H724" s="159"/>
      <c r="I724" s="159"/>
      <c r="J724" s="159"/>
      <c r="K724" s="159"/>
      <c r="L724" s="159"/>
      <c r="M724" s="159"/>
    </row>
    <row r="725" spans="2:13">
      <c r="B725" s="399"/>
      <c r="C725" s="159"/>
      <c r="D725" s="159"/>
      <c r="E725" s="159"/>
      <c r="F725" s="159"/>
      <c r="G725" s="159"/>
      <c r="H725" s="159"/>
      <c r="I725" s="159"/>
      <c r="J725" s="159"/>
      <c r="K725" s="159"/>
      <c r="L725" s="159"/>
      <c r="M725" s="159"/>
    </row>
    <row r="726" spans="2:13">
      <c r="B726" s="399"/>
      <c r="C726" s="159"/>
      <c r="D726" s="159"/>
      <c r="E726" s="159"/>
      <c r="F726" s="159"/>
      <c r="G726" s="159"/>
      <c r="H726" s="159"/>
      <c r="I726" s="159"/>
      <c r="J726" s="159"/>
      <c r="K726" s="159"/>
      <c r="L726" s="159"/>
      <c r="M726" s="159"/>
    </row>
    <row r="727" spans="2:13">
      <c r="B727" s="399"/>
      <c r="C727" s="159"/>
      <c r="D727" s="159"/>
      <c r="E727" s="159"/>
      <c r="F727" s="159"/>
      <c r="G727" s="159"/>
      <c r="H727" s="159"/>
      <c r="I727" s="159"/>
      <c r="J727" s="159"/>
      <c r="K727" s="159"/>
      <c r="L727" s="159"/>
      <c r="M727" s="159"/>
    </row>
    <row r="728" spans="2:13">
      <c r="B728" s="399"/>
      <c r="C728" s="159"/>
      <c r="D728" s="159"/>
      <c r="E728" s="159"/>
      <c r="F728" s="159"/>
      <c r="G728" s="159"/>
      <c r="H728" s="159"/>
      <c r="I728" s="159"/>
      <c r="J728" s="159"/>
      <c r="K728" s="159"/>
      <c r="L728" s="159"/>
      <c r="M728" s="159"/>
    </row>
    <row r="729" spans="2:13">
      <c r="B729" s="399"/>
      <c r="C729" s="159"/>
      <c r="D729" s="159"/>
      <c r="E729" s="159"/>
      <c r="F729" s="159"/>
      <c r="G729" s="159"/>
      <c r="H729" s="159"/>
      <c r="I729" s="159"/>
      <c r="J729" s="159"/>
      <c r="K729" s="159"/>
      <c r="L729" s="159"/>
      <c r="M729" s="159"/>
    </row>
    <row r="730" spans="2:13">
      <c r="B730" s="399"/>
      <c r="C730" s="159"/>
      <c r="D730" s="159"/>
      <c r="E730" s="159"/>
      <c r="F730" s="159"/>
      <c r="G730" s="159"/>
      <c r="H730" s="159"/>
      <c r="I730" s="159"/>
      <c r="J730" s="159"/>
      <c r="K730" s="159"/>
      <c r="L730" s="159"/>
      <c r="M730" s="159"/>
    </row>
    <row r="731" spans="2:13">
      <c r="B731" s="399"/>
      <c r="C731" s="159"/>
      <c r="D731" s="159"/>
      <c r="E731" s="159"/>
      <c r="F731" s="159"/>
      <c r="G731" s="159"/>
      <c r="H731" s="159"/>
      <c r="I731" s="159"/>
      <c r="J731" s="159"/>
      <c r="K731" s="159"/>
      <c r="L731" s="159"/>
      <c r="M731" s="159"/>
    </row>
    <row r="732" spans="2:13">
      <c r="B732" s="399"/>
      <c r="C732" s="159"/>
      <c r="D732" s="159"/>
      <c r="E732" s="159"/>
      <c r="F732" s="159"/>
      <c r="G732" s="159"/>
      <c r="H732" s="159"/>
      <c r="I732" s="159"/>
      <c r="J732" s="159"/>
      <c r="K732" s="159"/>
      <c r="L732" s="159"/>
      <c r="M732" s="159"/>
    </row>
    <row r="733" spans="2:13">
      <c r="B733" s="399"/>
      <c r="C733" s="159"/>
      <c r="D733" s="159"/>
      <c r="E733" s="159"/>
      <c r="F733" s="159"/>
      <c r="G733" s="159"/>
      <c r="H733" s="159"/>
      <c r="I733" s="159"/>
      <c r="J733" s="159"/>
      <c r="K733" s="159"/>
      <c r="L733" s="159"/>
      <c r="M733" s="159"/>
    </row>
    <row r="734" spans="2:13">
      <c r="B734" s="399"/>
      <c r="C734" s="159"/>
      <c r="D734" s="159"/>
      <c r="E734" s="159"/>
      <c r="F734" s="159"/>
      <c r="G734" s="159"/>
      <c r="H734" s="159"/>
      <c r="I734" s="159"/>
      <c r="J734" s="159"/>
      <c r="K734" s="159"/>
      <c r="L734" s="159"/>
      <c r="M734" s="159"/>
    </row>
    <row r="735" spans="2:13">
      <c r="B735" s="399"/>
      <c r="C735" s="159"/>
      <c r="D735" s="159"/>
      <c r="E735" s="159"/>
      <c r="F735" s="159"/>
      <c r="G735" s="159"/>
      <c r="H735" s="159"/>
      <c r="I735" s="159"/>
      <c r="J735" s="159"/>
      <c r="K735" s="159"/>
      <c r="L735" s="159"/>
      <c r="M735" s="159"/>
    </row>
    <row r="736" spans="2:13">
      <c r="B736" s="399"/>
      <c r="C736" s="159"/>
      <c r="D736" s="159"/>
      <c r="E736" s="159"/>
      <c r="F736" s="159"/>
      <c r="G736" s="159"/>
      <c r="H736" s="159"/>
      <c r="I736" s="159"/>
      <c r="J736" s="159"/>
      <c r="K736" s="159"/>
      <c r="L736" s="159"/>
      <c r="M736" s="159"/>
    </row>
    <row r="737" spans="2:13">
      <c r="B737" s="399"/>
      <c r="C737" s="159"/>
      <c r="D737" s="159"/>
      <c r="E737" s="159"/>
      <c r="F737" s="159"/>
      <c r="G737" s="159"/>
      <c r="H737" s="159"/>
      <c r="I737" s="159"/>
      <c r="J737" s="159"/>
      <c r="K737" s="159"/>
      <c r="L737" s="159"/>
      <c r="M737" s="159"/>
    </row>
    <row r="738" spans="2:13">
      <c r="B738" s="399"/>
      <c r="C738" s="159"/>
      <c r="D738" s="159"/>
      <c r="E738" s="159"/>
      <c r="F738" s="159"/>
      <c r="G738" s="159"/>
      <c r="H738" s="159"/>
      <c r="I738" s="159"/>
      <c r="J738" s="159"/>
      <c r="K738" s="159"/>
      <c r="L738" s="159"/>
      <c r="M738" s="159"/>
    </row>
    <row r="739" spans="2:13">
      <c r="B739" s="399"/>
      <c r="C739" s="159"/>
      <c r="D739" s="159"/>
      <c r="E739" s="159"/>
      <c r="F739" s="159"/>
      <c r="G739" s="159"/>
      <c r="H739" s="159"/>
      <c r="I739" s="159"/>
      <c r="J739" s="159"/>
      <c r="K739" s="159"/>
      <c r="L739" s="159"/>
      <c r="M739" s="159"/>
    </row>
    <row r="740" spans="2:13">
      <c r="B740" s="399"/>
      <c r="C740" s="159"/>
      <c r="D740" s="159"/>
      <c r="E740" s="159"/>
      <c r="F740" s="159"/>
      <c r="G740" s="159"/>
      <c r="H740" s="159"/>
      <c r="I740" s="159"/>
      <c r="J740" s="159"/>
      <c r="K740" s="159"/>
      <c r="L740" s="159"/>
      <c r="M740" s="159"/>
    </row>
    <row r="741" spans="2:13">
      <c r="B741" s="399"/>
      <c r="C741" s="159"/>
      <c r="D741" s="159"/>
      <c r="E741" s="159"/>
      <c r="F741" s="159"/>
      <c r="G741" s="159"/>
      <c r="H741" s="159"/>
      <c r="I741" s="159"/>
      <c r="J741" s="159"/>
      <c r="K741" s="159"/>
      <c r="L741" s="159"/>
      <c r="M741" s="159"/>
    </row>
    <row r="742" spans="2:13">
      <c r="B742" s="399"/>
      <c r="C742" s="159"/>
      <c r="D742" s="159"/>
      <c r="E742" s="159"/>
      <c r="F742" s="159"/>
      <c r="G742" s="159"/>
      <c r="H742" s="159"/>
      <c r="I742" s="159"/>
      <c r="J742" s="159"/>
      <c r="K742" s="159"/>
      <c r="L742" s="159"/>
      <c r="M742" s="159"/>
    </row>
    <row r="743" spans="2:13">
      <c r="B743" s="399"/>
      <c r="C743" s="159"/>
      <c r="D743" s="159"/>
      <c r="E743" s="159"/>
      <c r="F743" s="159"/>
      <c r="G743" s="159"/>
      <c r="H743" s="159"/>
      <c r="I743" s="159"/>
      <c r="J743" s="159"/>
      <c r="K743" s="159"/>
      <c r="L743" s="159"/>
      <c r="M743" s="159"/>
    </row>
    <row r="744" spans="2:13">
      <c r="B744" s="399"/>
      <c r="C744" s="159"/>
      <c r="D744" s="159"/>
      <c r="E744" s="159"/>
      <c r="F744" s="159"/>
      <c r="G744" s="159"/>
      <c r="H744" s="159"/>
      <c r="I744" s="159"/>
      <c r="J744" s="159"/>
      <c r="K744" s="159"/>
      <c r="L744" s="159"/>
      <c r="M744" s="159"/>
    </row>
    <row r="745" spans="2:13">
      <c r="B745" s="399"/>
      <c r="C745" s="159"/>
      <c r="D745" s="159"/>
      <c r="E745" s="159"/>
      <c r="F745" s="159"/>
      <c r="G745" s="159"/>
      <c r="H745" s="159"/>
      <c r="I745" s="159"/>
      <c r="J745" s="159"/>
      <c r="K745" s="159"/>
      <c r="L745" s="159"/>
      <c r="M745" s="159"/>
    </row>
    <row r="746" spans="2:13">
      <c r="B746" s="399"/>
      <c r="C746" s="159"/>
      <c r="D746" s="159"/>
      <c r="E746" s="159"/>
      <c r="F746" s="159"/>
      <c r="G746" s="159"/>
      <c r="H746" s="159"/>
      <c r="I746" s="159"/>
      <c r="J746" s="159"/>
      <c r="K746" s="159"/>
      <c r="L746" s="159"/>
      <c r="M746" s="159"/>
    </row>
    <row r="747" spans="2:13">
      <c r="B747" s="399"/>
      <c r="C747" s="159"/>
      <c r="D747" s="159"/>
      <c r="E747" s="159"/>
      <c r="F747" s="159"/>
      <c r="G747" s="159"/>
      <c r="H747" s="159"/>
      <c r="I747" s="159"/>
      <c r="J747" s="159"/>
      <c r="K747" s="159"/>
      <c r="L747" s="159"/>
      <c r="M747" s="159"/>
    </row>
    <row r="748" spans="2:13">
      <c r="B748" s="399"/>
      <c r="C748" s="159"/>
      <c r="D748" s="159"/>
      <c r="E748" s="159"/>
      <c r="F748" s="159"/>
      <c r="G748" s="159"/>
      <c r="H748" s="159"/>
      <c r="I748" s="159"/>
      <c r="J748" s="159"/>
      <c r="K748" s="159"/>
      <c r="L748" s="159"/>
      <c r="M748" s="159"/>
    </row>
    <row r="749" spans="2:13">
      <c r="B749" s="399"/>
      <c r="C749" s="159"/>
      <c r="D749" s="159"/>
      <c r="E749" s="159"/>
      <c r="F749" s="159"/>
      <c r="G749" s="159"/>
      <c r="H749" s="159"/>
      <c r="I749" s="159"/>
      <c r="J749" s="159"/>
      <c r="K749" s="159"/>
      <c r="L749" s="159"/>
      <c r="M749" s="159"/>
    </row>
    <row r="750" spans="2:13">
      <c r="B750" s="399"/>
      <c r="C750" s="159"/>
      <c r="D750" s="159"/>
      <c r="E750" s="159"/>
      <c r="F750" s="159"/>
      <c r="G750" s="159"/>
      <c r="H750" s="159"/>
      <c r="I750" s="159"/>
      <c r="J750" s="159"/>
      <c r="K750" s="159"/>
      <c r="L750" s="159"/>
      <c r="M750" s="159"/>
    </row>
    <row r="751" spans="2:13">
      <c r="B751" s="399"/>
      <c r="C751" s="159"/>
      <c r="D751" s="159"/>
      <c r="E751" s="159"/>
      <c r="F751" s="159"/>
      <c r="G751" s="159"/>
      <c r="H751" s="159"/>
      <c r="I751" s="159"/>
      <c r="J751" s="159"/>
      <c r="K751" s="159"/>
      <c r="L751" s="159"/>
      <c r="M751" s="159"/>
    </row>
    <row r="752" spans="2:13">
      <c r="B752" s="399"/>
      <c r="C752" s="159"/>
      <c r="D752" s="159"/>
      <c r="E752" s="159"/>
      <c r="F752" s="159"/>
      <c r="G752" s="159"/>
      <c r="H752" s="159"/>
      <c r="I752" s="159"/>
      <c r="J752" s="159"/>
      <c r="K752" s="159"/>
      <c r="L752" s="159"/>
      <c r="M752" s="159"/>
    </row>
    <row r="753" spans="2:13">
      <c r="B753" s="399"/>
      <c r="C753" s="159"/>
      <c r="D753" s="159"/>
      <c r="E753" s="159"/>
      <c r="F753" s="159"/>
      <c r="G753" s="159"/>
      <c r="H753" s="159"/>
      <c r="I753" s="159"/>
      <c r="J753" s="159"/>
      <c r="K753" s="159"/>
      <c r="L753" s="159"/>
      <c r="M753" s="159"/>
    </row>
    <row r="754" spans="2:13">
      <c r="B754" s="399"/>
      <c r="C754" s="159"/>
      <c r="D754" s="159"/>
      <c r="E754" s="159"/>
      <c r="F754" s="159"/>
      <c r="G754" s="159"/>
      <c r="H754" s="159"/>
      <c r="I754" s="159"/>
      <c r="J754" s="159"/>
      <c r="K754" s="159"/>
      <c r="L754" s="159"/>
      <c r="M754" s="159"/>
    </row>
    <row r="755" spans="2:13">
      <c r="B755" s="399"/>
      <c r="C755" s="159"/>
      <c r="D755" s="159"/>
      <c r="E755" s="159"/>
      <c r="F755" s="159"/>
      <c r="G755" s="159"/>
      <c r="H755" s="159"/>
      <c r="I755" s="159"/>
      <c r="J755" s="159"/>
      <c r="K755" s="159"/>
      <c r="L755" s="159"/>
      <c r="M755" s="159"/>
    </row>
    <row r="756" spans="2:13">
      <c r="B756" s="399"/>
      <c r="C756" s="159"/>
      <c r="D756" s="159"/>
      <c r="E756" s="159"/>
      <c r="F756" s="159"/>
      <c r="G756" s="159"/>
      <c r="H756" s="159"/>
      <c r="I756" s="159"/>
      <c r="J756" s="159"/>
      <c r="K756" s="159"/>
      <c r="L756" s="159"/>
      <c r="M756" s="159"/>
    </row>
    <row r="757" spans="2:13">
      <c r="B757" s="399"/>
      <c r="C757" s="159"/>
      <c r="D757" s="159"/>
      <c r="E757" s="159"/>
      <c r="F757" s="159"/>
      <c r="G757" s="159"/>
      <c r="H757" s="159"/>
      <c r="I757" s="159"/>
      <c r="J757" s="159"/>
      <c r="K757" s="159"/>
      <c r="L757" s="159"/>
      <c r="M757" s="159"/>
    </row>
    <row r="758" spans="2:13">
      <c r="B758" s="399"/>
      <c r="C758" s="159"/>
      <c r="D758" s="159"/>
      <c r="E758" s="159"/>
      <c r="F758" s="159"/>
      <c r="G758" s="159"/>
      <c r="H758" s="159"/>
      <c r="I758" s="159"/>
      <c r="J758" s="159"/>
      <c r="K758" s="159"/>
      <c r="L758" s="159"/>
      <c r="M758" s="159"/>
    </row>
    <row r="759" spans="2:13">
      <c r="B759" s="399"/>
      <c r="C759" s="159"/>
      <c r="D759" s="159"/>
      <c r="E759" s="159"/>
      <c r="F759" s="159"/>
      <c r="G759" s="159"/>
      <c r="H759" s="159"/>
      <c r="I759" s="159"/>
      <c r="J759" s="159"/>
      <c r="K759" s="159"/>
      <c r="L759" s="159"/>
      <c r="M759" s="159"/>
    </row>
    <row r="760" spans="2:13">
      <c r="B760" s="399"/>
      <c r="C760" s="159"/>
      <c r="D760" s="159"/>
      <c r="E760" s="159"/>
      <c r="F760" s="159"/>
      <c r="G760" s="159"/>
      <c r="H760" s="159"/>
      <c r="I760" s="159"/>
      <c r="J760" s="159"/>
      <c r="K760" s="159"/>
      <c r="L760" s="159"/>
      <c r="M760" s="159"/>
    </row>
    <row r="761" spans="2:13">
      <c r="B761" s="399"/>
      <c r="C761" s="159"/>
      <c r="D761" s="159"/>
      <c r="E761" s="159"/>
      <c r="F761" s="159"/>
      <c r="G761" s="159"/>
      <c r="H761" s="159"/>
      <c r="I761" s="159"/>
      <c r="J761" s="159"/>
      <c r="K761" s="159"/>
      <c r="L761" s="159"/>
      <c r="M761" s="159"/>
    </row>
    <row r="762" spans="2:13">
      <c r="B762" s="399"/>
      <c r="C762" s="159"/>
      <c r="D762" s="159"/>
      <c r="E762" s="159"/>
      <c r="F762" s="159"/>
      <c r="G762" s="159"/>
      <c r="H762" s="159"/>
      <c r="I762" s="159"/>
      <c r="J762" s="159"/>
      <c r="K762" s="159"/>
      <c r="L762" s="159"/>
      <c r="M762" s="159"/>
    </row>
    <row r="763" spans="2:13">
      <c r="B763" s="399"/>
      <c r="C763" s="159"/>
      <c r="D763" s="159"/>
      <c r="E763" s="159"/>
      <c r="F763" s="159"/>
      <c r="G763" s="159"/>
      <c r="H763" s="159"/>
      <c r="I763" s="159"/>
      <c r="J763" s="159"/>
      <c r="K763" s="159"/>
      <c r="L763" s="159"/>
      <c r="M763" s="159"/>
    </row>
    <row r="764" spans="2:13">
      <c r="B764" s="399"/>
      <c r="C764" s="159"/>
      <c r="D764" s="159"/>
      <c r="E764" s="159"/>
      <c r="F764" s="159"/>
      <c r="G764" s="159"/>
      <c r="H764" s="159"/>
      <c r="I764" s="159"/>
      <c r="J764" s="159"/>
      <c r="K764" s="159"/>
      <c r="L764" s="159"/>
      <c r="M764" s="159"/>
    </row>
    <row r="765" spans="2:13">
      <c r="B765" s="399"/>
      <c r="C765" s="159"/>
      <c r="D765" s="159"/>
      <c r="E765" s="159"/>
      <c r="F765" s="159"/>
      <c r="G765" s="159"/>
      <c r="H765" s="159"/>
      <c r="I765" s="159"/>
      <c r="J765" s="159"/>
      <c r="K765" s="159"/>
      <c r="L765" s="159"/>
      <c r="M765" s="159"/>
    </row>
    <row r="766" spans="2:13">
      <c r="B766" s="399"/>
      <c r="C766" s="159"/>
      <c r="D766" s="159"/>
      <c r="E766" s="159"/>
      <c r="F766" s="159"/>
      <c r="G766" s="159"/>
      <c r="H766" s="159"/>
      <c r="I766" s="159"/>
      <c r="J766" s="159"/>
      <c r="K766" s="159"/>
      <c r="L766" s="159"/>
      <c r="M766" s="159"/>
    </row>
    <row r="767" spans="2:13">
      <c r="B767" s="399"/>
      <c r="C767" s="159"/>
      <c r="D767" s="159"/>
      <c r="E767" s="159"/>
      <c r="F767" s="159"/>
      <c r="G767" s="159"/>
      <c r="H767" s="159"/>
      <c r="I767" s="159"/>
      <c r="J767" s="159"/>
      <c r="K767" s="159"/>
      <c r="L767" s="159"/>
      <c r="M767" s="159"/>
    </row>
    <row r="768" spans="2:13">
      <c r="B768" s="399"/>
      <c r="C768" s="159"/>
      <c r="D768" s="159"/>
      <c r="E768" s="159"/>
      <c r="F768" s="159"/>
      <c r="G768" s="159"/>
      <c r="H768" s="159"/>
      <c r="I768" s="159"/>
      <c r="J768" s="159"/>
      <c r="K768" s="159"/>
      <c r="L768" s="159"/>
      <c r="M768" s="159"/>
    </row>
    <row r="769" spans="2:13">
      <c r="B769" s="399"/>
      <c r="C769" s="159"/>
      <c r="D769" s="159"/>
      <c r="E769" s="159"/>
      <c r="F769" s="159"/>
      <c r="G769" s="159"/>
      <c r="H769" s="159"/>
      <c r="I769" s="159"/>
      <c r="J769" s="159"/>
      <c r="K769" s="159"/>
      <c r="L769" s="159"/>
      <c r="M769" s="159"/>
    </row>
    <row r="770" spans="2:13">
      <c r="B770" s="399"/>
      <c r="C770" s="159"/>
      <c r="D770" s="159"/>
      <c r="E770" s="159"/>
      <c r="F770" s="159"/>
      <c r="G770" s="159"/>
      <c r="H770" s="159"/>
      <c r="I770" s="159"/>
      <c r="J770" s="159"/>
      <c r="K770" s="159"/>
      <c r="L770" s="159"/>
      <c r="M770" s="159"/>
    </row>
    <row r="771" spans="2:13">
      <c r="B771" s="399"/>
      <c r="C771" s="159"/>
      <c r="D771" s="159"/>
      <c r="E771" s="159"/>
      <c r="F771" s="159"/>
      <c r="G771" s="159"/>
      <c r="H771" s="159"/>
      <c r="I771" s="159"/>
      <c r="J771" s="159"/>
      <c r="K771" s="159"/>
      <c r="L771" s="159"/>
      <c r="M771" s="159"/>
    </row>
    <row r="772" spans="2:13">
      <c r="B772" s="399"/>
      <c r="C772" s="159"/>
      <c r="D772" s="159"/>
      <c r="E772" s="159"/>
      <c r="F772" s="159"/>
      <c r="G772" s="159"/>
      <c r="H772" s="159"/>
      <c r="I772" s="159"/>
      <c r="J772" s="159"/>
      <c r="K772" s="159"/>
      <c r="L772" s="159"/>
      <c r="M772" s="159"/>
    </row>
    <row r="773" spans="2:13">
      <c r="B773" s="399"/>
      <c r="C773" s="159"/>
      <c r="D773" s="159"/>
      <c r="E773" s="159"/>
      <c r="F773" s="159"/>
      <c r="G773" s="159"/>
      <c r="H773" s="159"/>
      <c r="I773" s="159"/>
      <c r="J773" s="159"/>
      <c r="K773" s="159"/>
      <c r="L773" s="159"/>
      <c r="M773" s="159"/>
    </row>
    <row r="774" spans="2:13">
      <c r="B774" s="399"/>
      <c r="C774" s="159"/>
      <c r="D774" s="159"/>
      <c r="E774" s="159"/>
      <c r="F774" s="159"/>
      <c r="G774" s="159"/>
      <c r="H774" s="159"/>
      <c r="I774" s="159"/>
      <c r="J774" s="159"/>
      <c r="K774" s="159"/>
      <c r="L774" s="159"/>
      <c r="M774" s="159"/>
    </row>
    <row r="775" spans="2:13">
      <c r="B775" s="399"/>
      <c r="C775" s="159"/>
      <c r="D775" s="159"/>
      <c r="E775" s="159"/>
      <c r="F775" s="159"/>
      <c r="G775" s="159"/>
      <c r="H775" s="159"/>
      <c r="I775" s="159"/>
      <c r="J775" s="159"/>
      <c r="K775" s="159"/>
      <c r="L775" s="159"/>
      <c r="M775" s="159"/>
    </row>
    <row r="776" spans="2:13">
      <c r="B776" s="399"/>
      <c r="C776" s="159"/>
      <c r="D776" s="159"/>
      <c r="E776" s="159"/>
      <c r="F776" s="159"/>
      <c r="G776" s="159"/>
      <c r="H776" s="159"/>
      <c r="I776" s="159"/>
      <c r="J776" s="159"/>
      <c r="K776" s="159"/>
      <c r="L776" s="159"/>
      <c r="M776" s="159"/>
    </row>
    <row r="777" spans="2:13">
      <c r="B777" s="399"/>
      <c r="C777" s="159"/>
      <c r="D777" s="159"/>
      <c r="E777" s="159"/>
      <c r="F777" s="159"/>
      <c r="G777" s="159"/>
      <c r="H777" s="159"/>
      <c r="I777" s="159"/>
      <c r="J777" s="159"/>
      <c r="K777" s="159"/>
      <c r="L777" s="159"/>
      <c r="M777" s="159"/>
    </row>
    <row r="778" spans="2:13">
      <c r="B778" s="399"/>
      <c r="C778" s="159"/>
      <c r="D778" s="159"/>
      <c r="E778" s="159"/>
      <c r="F778" s="159"/>
      <c r="G778" s="159"/>
      <c r="H778" s="159"/>
      <c r="I778" s="159"/>
      <c r="J778" s="159"/>
      <c r="K778" s="159"/>
      <c r="L778" s="159"/>
      <c r="M778" s="159"/>
    </row>
    <row r="779" spans="2:13">
      <c r="B779" s="399"/>
      <c r="C779" s="159"/>
      <c r="D779" s="159"/>
      <c r="E779" s="159"/>
      <c r="F779" s="159"/>
      <c r="G779" s="159"/>
      <c r="H779" s="159"/>
      <c r="I779" s="159"/>
      <c r="J779" s="159"/>
      <c r="K779" s="159"/>
      <c r="L779" s="159"/>
      <c r="M779" s="159"/>
    </row>
    <row r="780" spans="2:13">
      <c r="B780" s="399"/>
      <c r="C780" s="159"/>
      <c r="D780" s="159"/>
      <c r="E780" s="159"/>
      <c r="F780" s="159"/>
      <c r="G780" s="159"/>
      <c r="H780" s="159"/>
      <c r="I780" s="159"/>
      <c r="J780" s="159"/>
      <c r="K780" s="159"/>
      <c r="L780" s="159"/>
      <c r="M780" s="159"/>
    </row>
    <row r="781" spans="2:13">
      <c r="B781" s="399"/>
      <c r="C781" s="159"/>
      <c r="D781" s="159"/>
      <c r="E781" s="159"/>
      <c r="F781" s="159"/>
      <c r="G781" s="159"/>
      <c r="H781" s="159"/>
      <c r="I781" s="159"/>
      <c r="J781" s="159"/>
      <c r="K781" s="159"/>
      <c r="L781" s="159"/>
      <c r="M781" s="159"/>
    </row>
    <row r="782" spans="2:13">
      <c r="B782" s="399"/>
      <c r="C782" s="159"/>
      <c r="D782" s="159"/>
      <c r="E782" s="159"/>
      <c r="F782" s="159"/>
      <c r="G782" s="159"/>
      <c r="H782" s="159"/>
      <c r="I782" s="159"/>
      <c r="J782" s="159"/>
      <c r="K782" s="159"/>
      <c r="L782" s="159"/>
      <c r="M782" s="159"/>
    </row>
    <row r="783" spans="2:13">
      <c r="B783" s="399"/>
      <c r="C783" s="159"/>
      <c r="D783" s="159"/>
      <c r="E783" s="159"/>
      <c r="F783" s="159"/>
      <c r="G783" s="159"/>
      <c r="H783" s="159"/>
      <c r="I783" s="159"/>
      <c r="J783" s="159"/>
      <c r="K783" s="159"/>
      <c r="L783" s="159"/>
      <c r="M783" s="159"/>
    </row>
    <row r="784" spans="2:13">
      <c r="B784" s="399"/>
      <c r="C784" s="159"/>
      <c r="D784" s="159"/>
      <c r="E784" s="159"/>
      <c r="F784" s="159"/>
      <c r="G784" s="159"/>
      <c r="H784" s="159"/>
      <c r="I784" s="159"/>
      <c r="J784" s="159"/>
      <c r="K784" s="159"/>
      <c r="L784" s="159"/>
      <c r="M784" s="159"/>
    </row>
    <row r="785" spans="2:13">
      <c r="B785" s="399"/>
      <c r="C785" s="159"/>
      <c r="D785" s="159"/>
      <c r="E785" s="159"/>
      <c r="F785" s="159"/>
      <c r="G785" s="159"/>
      <c r="H785" s="159"/>
      <c r="I785" s="159"/>
      <c r="J785" s="159"/>
      <c r="K785" s="159"/>
      <c r="L785" s="159"/>
      <c r="M785" s="159"/>
    </row>
    <row r="786" spans="2:13">
      <c r="B786" s="399"/>
      <c r="C786" s="159"/>
      <c r="D786" s="159"/>
      <c r="E786" s="159"/>
      <c r="F786" s="159"/>
      <c r="G786" s="159"/>
      <c r="H786" s="159"/>
      <c r="I786" s="159"/>
      <c r="J786" s="159"/>
      <c r="K786" s="159"/>
      <c r="L786" s="159"/>
      <c r="M786" s="159"/>
    </row>
    <row r="787" spans="2:13">
      <c r="B787" s="399"/>
      <c r="C787" s="159"/>
      <c r="D787" s="159"/>
      <c r="E787" s="159"/>
      <c r="F787" s="159"/>
      <c r="G787" s="159"/>
      <c r="H787" s="159"/>
      <c r="I787" s="159"/>
      <c r="J787" s="159"/>
      <c r="K787" s="159"/>
      <c r="L787" s="159"/>
      <c r="M787" s="159"/>
    </row>
    <row r="788" spans="2:13">
      <c r="B788" s="399"/>
      <c r="C788" s="159"/>
      <c r="D788" s="159"/>
      <c r="E788" s="159"/>
      <c r="F788" s="159"/>
      <c r="G788" s="159"/>
      <c r="H788" s="159"/>
      <c r="I788" s="159"/>
      <c r="J788" s="159"/>
      <c r="K788" s="159"/>
      <c r="L788" s="159"/>
      <c r="M788" s="159"/>
    </row>
    <row r="789" spans="2:13">
      <c r="B789" s="399"/>
      <c r="C789" s="159"/>
      <c r="D789" s="159"/>
      <c r="E789" s="159"/>
      <c r="F789" s="159"/>
      <c r="G789" s="159"/>
      <c r="H789" s="159"/>
      <c r="I789" s="159"/>
      <c r="J789" s="159"/>
      <c r="K789" s="159"/>
      <c r="L789" s="159"/>
      <c r="M789" s="159"/>
    </row>
    <row r="790" spans="2:13">
      <c r="B790" s="399"/>
      <c r="C790" s="159"/>
      <c r="D790" s="159"/>
      <c r="E790" s="159"/>
      <c r="F790" s="159"/>
      <c r="G790" s="159"/>
      <c r="H790" s="159"/>
      <c r="I790" s="159"/>
      <c r="J790" s="159"/>
      <c r="K790" s="159"/>
      <c r="L790" s="159"/>
      <c r="M790" s="159"/>
    </row>
    <row r="791" spans="2:13">
      <c r="B791" s="399"/>
      <c r="C791" s="159"/>
      <c r="D791" s="159"/>
      <c r="E791" s="159"/>
      <c r="F791" s="159"/>
      <c r="G791" s="159"/>
      <c r="H791" s="159"/>
      <c r="I791" s="159"/>
      <c r="J791" s="159"/>
      <c r="K791" s="159"/>
      <c r="L791" s="159"/>
      <c r="M791" s="159"/>
    </row>
    <row r="792" spans="2:13">
      <c r="B792" s="399"/>
      <c r="C792" s="159"/>
      <c r="D792" s="159"/>
      <c r="E792" s="159"/>
      <c r="F792" s="159"/>
      <c r="G792" s="159"/>
      <c r="H792" s="159"/>
      <c r="I792" s="159"/>
      <c r="J792" s="159"/>
      <c r="K792" s="159"/>
      <c r="L792" s="159"/>
      <c r="M792" s="159"/>
    </row>
    <row r="793" spans="2:13">
      <c r="B793" s="399"/>
      <c r="C793" s="159"/>
      <c r="D793" s="159"/>
      <c r="E793" s="159"/>
      <c r="F793" s="159"/>
      <c r="G793" s="159"/>
      <c r="H793" s="159"/>
      <c r="I793" s="159"/>
      <c r="J793" s="159"/>
      <c r="K793" s="159"/>
      <c r="L793" s="159"/>
      <c r="M793" s="159"/>
    </row>
    <row r="794" spans="2:13">
      <c r="B794" s="399"/>
      <c r="C794" s="159"/>
      <c r="D794" s="159"/>
      <c r="E794" s="159"/>
      <c r="F794" s="159"/>
      <c r="G794" s="159"/>
      <c r="H794" s="159"/>
      <c r="I794" s="159"/>
      <c r="J794" s="159"/>
      <c r="K794" s="159"/>
      <c r="L794" s="159"/>
      <c r="M794" s="159"/>
    </row>
    <row r="795" spans="2:13">
      <c r="B795" s="399"/>
      <c r="C795" s="159"/>
      <c r="D795" s="159"/>
      <c r="E795" s="159"/>
      <c r="F795" s="159"/>
      <c r="G795" s="159"/>
      <c r="H795" s="159"/>
      <c r="I795" s="159"/>
      <c r="J795" s="159"/>
      <c r="K795" s="159"/>
      <c r="L795" s="159"/>
      <c r="M795" s="159"/>
    </row>
    <row r="796" spans="2:13">
      <c r="B796" s="399"/>
      <c r="C796" s="159"/>
      <c r="D796" s="159"/>
      <c r="E796" s="159"/>
      <c r="F796" s="159"/>
      <c r="G796" s="159"/>
      <c r="H796" s="159"/>
      <c r="I796" s="159"/>
      <c r="J796" s="159"/>
      <c r="K796" s="159"/>
      <c r="L796" s="159"/>
      <c r="M796" s="159"/>
    </row>
    <row r="797" spans="2:13">
      <c r="B797" s="399"/>
      <c r="C797" s="159"/>
      <c r="D797" s="159"/>
      <c r="E797" s="159"/>
      <c r="F797" s="159"/>
      <c r="G797" s="159"/>
      <c r="H797" s="159"/>
      <c r="I797" s="159"/>
      <c r="J797" s="159"/>
      <c r="K797" s="159"/>
      <c r="L797" s="159"/>
      <c r="M797" s="159"/>
    </row>
    <row r="798" spans="2:13">
      <c r="B798" s="399"/>
      <c r="C798" s="159"/>
      <c r="D798" s="159"/>
      <c r="E798" s="159"/>
      <c r="F798" s="159"/>
      <c r="G798" s="159"/>
      <c r="H798" s="159"/>
      <c r="I798" s="159"/>
      <c r="J798" s="159"/>
      <c r="K798" s="159"/>
      <c r="L798" s="159"/>
      <c r="M798" s="159"/>
    </row>
    <row r="799" spans="2:13">
      <c r="B799" s="399"/>
      <c r="C799" s="159"/>
      <c r="D799" s="159"/>
      <c r="E799" s="159"/>
      <c r="F799" s="159"/>
      <c r="G799" s="159"/>
      <c r="H799" s="159"/>
      <c r="I799" s="159"/>
      <c r="J799" s="159"/>
      <c r="K799" s="159"/>
      <c r="L799" s="159"/>
      <c r="M799" s="159"/>
    </row>
    <row r="800" spans="2:13">
      <c r="B800" s="399"/>
      <c r="C800" s="159"/>
      <c r="D800" s="159"/>
      <c r="E800" s="159"/>
      <c r="F800" s="159"/>
      <c r="G800" s="159"/>
      <c r="H800" s="159"/>
      <c r="I800" s="159"/>
      <c r="J800" s="159"/>
      <c r="K800" s="159"/>
      <c r="L800" s="159"/>
      <c r="M800" s="159"/>
    </row>
    <row r="801" spans="2:13">
      <c r="B801" s="399"/>
      <c r="C801" s="159"/>
      <c r="D801" s="159"/>
      <c r="E801" s="159"/>
      <c r="F801" s="159"/>
      <c r="G801" s="159"/>
      <c r="H801" s="159"/>
      <c r="I801" s="159"/>
      <c r="J801" s="159"/>
      <c r="K801" s="159"/>
      <c r="L801" s="159"/>
      <c r="M801" s="159"/>
    </row>
    <row r="802" spans="2:13">
      <c r="B802" s="399"/>
      <c r="C802" s="159"/>
      <c r="D802" s="159"/>
      <c r="E802" s="159"/>
      <c r="F802" s="159"/>
      <c r="G802" s="159"/>
      <c r="H802" s="159"/>
      <c r="I802" s="159"/>
      <c r="J802" s="159"/>
      <c r="K802" s="159"/>
      <c r="L802" s="159"/>
      <c r="M802" s="159"/>
    </row>
    <row r="803" spans="2:13">
      <c r="B803" s="399"/>
      <c r="C803" s="159"/>
      <c r="D803" s="159"/>
      <c r="E803" s="159"/>
      <c r="F803" s="159"/>
      <c r="G803" s="159"/>
      <c r="H803" s="159"/>
      <c r="I803" s="159"/>
      <c r="J803" s="159"/>
      <c r="K803" s="159"/>
      <c r="L803" s="159"/>
      <c r="M803" s="159"/>
    </row>
    <row r="804" spans="2:13">
      <c r="B804" s="399"/>
      <c r="C804" s="159"/>
      <c r="D804" s="159"/>
      <c r="E804" s="159"/>
      <c r="F804" s="159"/>
      <c r="G804" s="159"/>
      <c r="H804" s="159"/>
      <c r="I804" s="159"/>
      <c r="J804" s="159"/>
      <c r="K804" s="159"/>
      <c r="L804" s="159"/>
      <c r="M804" s="159"/>
    </row>
    <row r="805" spans="2:13">
      <c r="B805" s="399"/>
      <c r="C805" s="159"/>
      <c r="D805" s="159"/>
      <c r="E805" s="159"/>
      <c r="F805" s="159"/>
      <c r="G805" s="159"/>
      <c r="H805" s="159"/>
      <c r="I805" s="159"/>
      <c r="J805" s="159"/>
      <c r="K805" s="159"/>
      <c r="L805" s="159"/>
      <c r="M805" s="159"/>
    </row>
    <row r="806" spans="2:13">
      <c r="B806" s="399"/>
      <c r="C806" s="159"/>
      <c r="D806" s="159"/>
      <c r="E806" s="159"/>
      <c r="F806" s="159"/>
      <c r="G806" s="159"/>
      <c r="H806" s="159"/>
      <c r="I806" s="159"/>
      <c r="J806" s="159"/>
      <c r="K806" s="159"/>
      <c r="L806" s="159"/>
      <c r="M806" s="159"/>
    </row>
    <row r="807" spans="2:13">
      <c r="B807" s="399"/>
      <c r="C807" s="159"/>
      <c r="D807" s="159"/>
      <c r="E807" s="159"/>
      <c r="F807" s="159"/>
      <c r="G807" s="159"/>
      <c r="H807" s="159"/>
      <c r="I807" s="159"/>
      <c r="J807" s="159"/>
      <c r="K807" s="159"/>
      <c r="L807" s="159"/>
      <c r="M807" s="159"/>
    </row>
    <row r="808" spans="2:13">
      <c r="B808" s="399"/>
      <c r="C808" s="159"/>
      <c r="D808" s="159"/>
      <c r="E808" s="159"/>
      <c r="F808" s="159"/>
      <c r="G808" s="159"/>
      <c r="H808" s="159"/>
      <c r="I808" s="159"/>
      <c r="J808" s="159"/>
      <c r="K808" s="159"/>
      <c r="L808" s="159"/>
      <c r="M808" s="159"/>
    </row>
    <row r="809" spans="2:13">
      <c r="B809" s="399"/>
      <c r="C809" s="159"/>
      <c r="D809" s="159"/>
      <c r="E809" s="159"/>
      <c r="F809" s="159"/>
      <c r="G809" s="159"/>
      <c r="H809" s="159"/>
      <c r="I809" s="159"/>
      <c r="J809" s="159"/>
      <c r="K809" s="159"/>
      <c r="L809" s="159"/>
      <c r="M809" s="159"/>
    </row>
    <row r="810" spans="2:13">
      <c r="B810" s="399"/>
      <c r="C810" s="159"/>
      <c r="D810" s="159"/>
      <c r="E810" s="159"/>
      <c r="F810" s="159"/>
      <c r="G810" s="159"/>
      <c r="H810" s="159"/>
      <c r="I810" s="159"/>
      <c r="J810" s="159"/>
      <c r="K810" s="159"/>
      <c r="L810" s="159"/>
      <c r="M810" s="159"/>
    </row>
    <row r="811" spans="2:13">
      <c r="B811" s="399"/>
      <c r="C811" s="159"/>
      <c r="D811" s="159"/>
      <c r="E811" s="159"/>
      <c r="F811" s="159"/>
      <c r="G811" s="159"/>
      <c r="H811" s="159"/>
      <c r="I811" s="159"/>
      <c r="J811" s="159"/>
      <c r="K811" s="159"/>
      <c r="L811" s="159"/>
      <c r="M811" s="159"/>
    </row>
    <row r="812" spans="2:13">
      <c r="B812" s="399"/>
      <c r="C812" s="159"/>
      <c r="D812" s="159"/>
      <c r="E812" s="159"/>
      <c r="F812" s="159"/>
      <c r="G812" s="159"/>
      <c r="H812" s="159"/>
      <c r="I812" s="159"/>
      <c r="J812" s="159"/>
      <c r="K812" s="159"/>
      <c r="L812" s="159"/>
      <c r="M812" s="159"/>
    </row>
    <row r="813" spans="2:13">
      <c r="B813" s="399"/>
      <c r="C813" s="159"/>
      <c r="D813" s="159"/>
      <c r="E813" s="159"/>
      <c r="F813" s="159"/>
      <c r="G813" s="159"/>
      <c r="H813" s="159"/>
      <c r="I813" s="159"/>
      <c r="J813" s="159"/>
      <c r="K813" s="159"/>
      <c r="L813" s="159"/>
      <c r="M813" s="159"/>
    </row>
    <row r="814" spans="2:13">
      <c r="B814" s="399"/>
      <c r="C814" s="159"/>
      <c r="D814" s="159"/>
      <c r="E814" s="159"/>
      <c r="F814" s="159"/>
      <c r="G814" s="159"/>
      <c r="H814" s="159"/>
      <c r="I814" s="159"/>
      <c r="J814" s="159"/>
      <c r="K814" s="159"/>
      <c r="L814" s="159"/>
      <c r="M814" s="159"/>
    </row>
    <row r="815" spans="2:13">
      <c r="B815" s="399"/>
      <c r="C815" s="159"/>
      <c r="D815" s="159"/>
      <c r="E815" s="159"/>
      <c r="F815" s="159"/>
      <c r="G815" s="159"/>
      <c r="H815" s="159"/>
      <c r="I815" s="159"/>
      <c r="J815" s="159"/>
      <c r="K815" s="159"/>
      <c r="L815" s="159"/>
      <c r="M815" s="159"/>
    </row>
    <row r="816" spans="2:13">
      <c r="B816" s="399"/>
      <c r="C816" s="159"/>
      <c r="D816" s="159"/>
      <c r="E816" s="159"/>
      <c r="F816" s="159"/>
      <c r="G816" s="159"/>
      <c r="H816" s="159"/>
      <c r="I816" s="159"/>
      <c r="J816" s="159"/>
      <c r="K816" s="159"/>
      <c r="L816" s="159"/>
      <c r="M816" s="159"/>
    </row>
    <row r="817" spans="2:13">
      <c r="B817" s="399"/>
      <c r="C817" s="159"/>
      <c r="D817" s="159"/>
      <c r="E817" s="159"/>
      <c r="F817" s="159"/>
      <c r="G817" s="159"/>
      <c r="H817" s="159"/>
      <c r="I817" s="159"/>
      <c r="J817" s="159"/>
      <c r="K817" s="159"/>
      <c r="L817" s="159"/>
      <c r="M817" s="159"/>
    </row>
    <row r="818" spans="2:13">
      <c r="B818" s="399"/>
      <c r="C818" s="159"/>
      <c r="D818" s="159"/>
      <c r="E818" s="159"/>
      <c r="F818" s="159"/>
      <c r="G818" s="159"/>
      <c r="H818" s="159"/>
      <c r="I818" s="159"/>
      <c r="J818" s="159"/>
      <c r="K818" s="159"/>
      <c r="L818" s="159"/>
      <c r="M818" s="159"/>
    </row>
    <row r="819" spans="2:13">
      <c r="B819" s="399"/>
      <c r="C819" s="159"/>
      <c r="D819" s="159"/>
      <c r="E819" s="159"/>
      <c r="F819" s="159"/>
      <c r="G819" s="159"/>
      <c r="H819" s="159"/>
      <c r="I819" s="159"/>
      <c r="J819" s="159"/>
      <c r="K819" s="159"/>
      <c r="L819" s="159"/>
      <c r="M819" s="159"/>
    </row>
    <row r="820" spans="2:13">
      <c r="B820" s="399"/>
      <c r="C820" s="159"/>
      <c r="D820" s="159"/>
      <c r="E820" s="159"/>
      <c r="F820" s="159"/>
      <c r="G820" s="159"/>
      <c r="H820" s="159"/>
      <c r="I820" s="159"/>
      <c r="J820" s="159"/>
      <c r="K820" s="159"/>
      <c r="L820" s="159"/>
      <c r="M820" s="159"/>
    </row>
    <row r="821" spans="2:13">
      <c r="B821" s="399"/>
      <c r="C821" s="159"/>
      <c r="D821" s="159"/>
      <c r="E821" s="159"/>
      <c r="F821" s="159"/>
      <c r="G821" s="159"/>
      <c r="H821" s="159"/>
      <c r="I821" s="159"/>
      <c r="J821" s="159"/>
      <c r="K821" s="159"/>
      <c r="L821" s="159"/>
      <c r="M821" s="159"/>
    </row>
    <row r="822" spans="2:13">
      <c r="B822" s="399"/>
      <c r="C822" s="159"/>
      <c r="D822" s="159"/>
      <c r="E822" s="159"/>
      <c r="F822" s="159"/>
      <c r="G822" s="159"/>
      <c r="H822" s="159"/>
      <c r="I822" s="159"/>
      <c r="J822" s="159"/>
      <c r="K822" s="159"/>
      <c r="L822" s="159"/>
      <c r="M822" s="159"/>
    </row>
    <row r="823" spans="2:13">
      <c r="B823" s="399"/>
      <c r="C823" s="159"/>
      <c r="D823" s="159"/>
      <c r="E823" s="159"/>
      <c r="F823" s="159"/>
      <c r="G823" s="159"/>
      <c r="H823" s="159"/>
      <c r="I823" s="159"/>
      <c r="J823" s="159"/>
      <c r="K823" s="159"/>
      <c r="L823" s="159"/>
      <c r="M823" s="159"/>
    </row>
    <row r="824" spans="2:13">
      <c r="B824" s="399"/>
      <c r="C824" s="159"/>
      <c r="D824" s="159"/>
      <c r="E824" s="159"/>
      <c r="F824" s="159"/>
      <c r="G824" s="159"/>
      <c r="H824" s="159"/>
      <c r="I824" s="159"/>
      <c r="J824" s="159"/>
      <c r="K824" s="159"/>
      <c r="L824" s="159"/>
      <c r="M824" s="159"/>
    </row>
    <row r="825" spans="2:13">
      <c r="B825" s="399"/>
      <c r="C825" s="159"/>
      <c r="D825" s="159"/>
      <c r="E825" s="159"/>
      <c r="F825" s="159"/>
      <c r="G825" s="159"/>
      <c r="H825" s="159"/>
      <c r="I825" s="159"/>
      <c r="J825" s="159"/>
      <c r="K825" s="159"/>
      <c r="L825" s="159"/>
      <c r="M825" s="159"/>
    </row>
    <row r="826" spans="2:13">
      <c r="B826" s="399"/>
      <c r="C826" s="159"/>
      <c r="D826" s="159"/>
      <c r="E826" s="159"/>
      <c r="F826" s="159"/>
      <c r="G826" s="159"/>
      <c r="H826" s="159"/>
      <c r="I826" s="159"/>
      <c r="J826" s="159"/>
      <c r="K826" s="159"/>
      <c r="L826" s="159"/>
      <c r="M826" s="159"/>
    </row>
    <row r="827" spans="2:13">
      <c r="B827" s="399"/>
      <c r="C827" s="159"/>
      <c r="D827" s="159"/>
      <c r="E827" s="159"/>
      <c r="F827" s="159"/>
      <c r="G827" s="159"/>
      <c r="H827" s="159"/>
      <c r="I827" s="159"/>
      <c r="J827" s="159"/>
      <c r="K827" s="159"/>
      <c r="L827" s="159"/>
      <c r="M827" s="159"/>
    </row>
    <row r="828" spans="2:13">
      <c r="B828" s="399"/>
      <c r="C828" s="159"/>
      <c r="D828" s="159"/>
      <c r="E828" s="159"/>
      <c r="F828" s="159"/>
      <c r="G828" s="159"/>
      <c r="H828" s="159"/>
      <c r="I828" s="159"/>
      <c r="J828" s="159"/>
      <c r="K828" s="159"/>
      <c r="L828" s="159"/>
      <c r="M828" s="159"/>
    </row>
    <row r="829" spans="2:13">
      <c r="B829" s="399"/>
      <c r="C829" s="159"/>
      <c r="D829" s="159"/>
      <c r="E829" s="159"/>
      <c r="F829" s="159"/>
      <c r="G829" s="159"/>
      <c r="H829" s="159"/>
      <c r="I829" s="159"/>
      <c r="J829" s="159"/>
      <c r="K829" s="159"/>
      <c r="L829" s="159"/>
      <c r="M829" s="159"/>
    </row>
    <row r="830" spans="2:13">
      <c r="B830" s="399"/>
      <c r="C830" s="159"/>
      <c r="D830" s="159"/>
      <c r="E830" s="159"/>
      <c r="F830" s="159"/>
      <c r="G830" s="159"/>
      <c r="H830" s="159"/>
      <c r="I830" s="159"/>
      <c r="J830" s="159"/>
      <c r="K830" s="159"/>
      <c r="L830" s="159"/>
      <c r="M830" s="159"/>
    </row>
    <row r="831" spans="2:13">
      <c r="B831" s="399"/>
      <c r="C831" s="159"/>
      <c r="D831" s="159"/>
      <c r="E831" s="159"/>
      <c r="F831" s="159"/>
      <c r="G831" s="159"/>
      <c r="H831" s="159"/>
      <c r="I831" s="159"/>
      <c r="J831" s="159"/>
      <c r="K831" s="159"/>
      <c r="L831" s="159"/>
      <c r="M831" s="159"/>
    </row>
    <row r="832" spans="2:13">
      <c r="B832" s="399"/>
      <c r="C832" s="159"/>
      <c r="D832" s="159"/>
      <c r="E832" s="159"/>
      <c r="F832" s="159"/>
      <c r="G832" s="159"/>
      <c r="H832" s="159"/>
      <c r="I832" s="159"/>
      <c r="J832" s="159"/>
      <c r="K832" s="159"/>
      <c r="L832" s="159"/>
      <c r="M832" s="159"/>
    </row>
    <row r="833" spans="2:13">
      <c r="B833" s="399"/>
      <c r="C833" s="159"/>
      <c r="D833" s="159"/>
      <c r="E833" s="159"/>
      <c r="F833" s="159"/>
      <c r="G833" s="159"/>
      <c r="H833" s="159"/>
      <c r="I833" s="159"/>
      <c r="J833" s="159"/>
      <c r="K833" s="159"/>
      <c r="L833" s="159"/>
      <c r="M833" s="159"/>
    </row>
    <row r="834" spans="2:13">
      <c r="B834" s="399"/>
      <c r="C834" s="159"/>
      <c r="D834" s="159"/>
      <c r="E834" s="159"/>
      <c r="F834" s="159"/>
      <c r="G834" s="159"/>
      <c r="H834" s="159"/>
      <c r="I834" s="159"/>
      <c r="J834" s="159"/>
      <c r="K834" s="159"/>
      <c r="L834" s="159"/>
      <c r="M834" s="159"/>
    </row>
    <row r="835" spans="2:13">
      <c r="B835" s="399"/>
      <c r="C835" s="159"/>
      <c r="D835" s="159"/>
      <c r="E835" s="159"/>
      <c r="F835" s="159"/>
      <c r="G835" s="159"/>
      <c r="H835" s="159"/>
      <c r="I835" s="159"/>
      <c r="J835" s="159"/>
      <c r="K835" s="159"/>
      <c r="L835" s="159"/>
      <c r="M835" s="159"/>
    </row>
    <row r="836" spans="2:13">
      <c r="B836" s="399"/>
      <c r="C836" s="159"/>
      <c r="D836" s="159"/>
      <c r="E836" s="159"/>
      <c r="F836" s="159"/>
      <c r="G836" s="159"/>
      <c r="H836" s="159"/>
      <c r="I836" s="159"/>
      <c r="J836" s="159"/>
      <c r="K836" s="159"/>
      <c r="L836" s="159"/>
      <c r="M836" s="159"/>
    </row>
    <row r="837" spans="2:13">
      <c r="B837" s="399"/>
      <c r="C837" s="159"/>
      <c r="D837" s="159"/>
      <c r="E837" s="159"/>
      <c r="F837" s="159"/>
      <c r="G837" s="159"/>
      <c r="H837" s="159"/>
      <c r="I837" s="159"/>
      <c r="J837" s="159"/>
      <c r="K837" s="159"/>
      <c r="L837" s="159"/>
      <c r="M837" s="159"/>
    </row>
    <row r="838" spans="2:13">
      <c r="B838" s="399"/>
      <c r="C838" s="159"/>
      <c r="D838" s="159"/>
      <c r="E838" s="159"/>
      <c r="F838" s="159"/>
      <c r="G838" s="159"/>
      <c r="H838" s="159"/>
      <c r="I838" s="159"/>
      <c r="J838" s="159"/>
      <c r="K838" s="159"/>
      <c r="L838" s="159"/>
      <c r="M838" s="159"/>
    </row>
    <row r="839" spans="2:13">
      <c r="B839" s="399"/>
      <c r="C839" s="159"/>
      <c r="D839" s="159"/>
      <c r="E839" s="159"/>
      <c r="F839" s="159"/>
      <c r="G839" s="159"/>
      <c r="H839" s="159"/>
      <c r="I839" s="159"/>
      <c r="J839" s="159"/>
      <c r="K839" s="159"/>
      <c r="L839" s="159"/>
      <c r="M839" s="159"/>
    </row>
    <row r="840" spans="2:13">
      <c r="B840" s="399"/>
      <c r="C840" s="159"/>
      <c r="D840" s="159"/>
      <c r="E840" s="159"/>
      <c r="F840" s="159"/>
      <c r="G840" s="159"/>
      <c r="H840" s="159"/>
      <c r="I840" s="159"/>
      <c r="J840" s="159"/>
      <c r="K840" s="159"/>
      <c r="L840" s="159"/>
      <c r="M840" s="159"/>
    </row>
    <row r="841" spans="2:13">
      <c r="B841" s="399"/>
      <c r="C841" s="159"/>
      <c r="D841" s="159"/>
      <c r="E841" s="159"/>
      <c r="F841" s="159"/>
      <c r="G841" s="159"/>
      <c r="H841" s="159"/>
      <c r="I841" s="159"/>
      <c r="J841" s="159"/>
      <c r="K841" s="159"/>
      <c r="L841" s="159"/>
      <c r="M841" s="159"/>
    </row>
    <row r="842" spans="2:13">
      <c r="B842" s="399"/>
      <c r="C842" s="159"/>
      <c r="D842" s="159"/>
      <c r="E842" s="159"/>
      <c r="F842" s="159"/>
      <c r="G842" s="159"/>
      <c r="H842" s="159"/>
      <c r="I842" s="159"/>
      <c r="J842" s="159"/>
      <c r="K842" s="159"/>
      <c r="L842" s="159"/>
      <c r="M842" s="159"/>
    </row>
    <row r="843" spans="2:13">
      <c r="B843" s="399"/>
      <c r="C843" s="159"/>
      <c r="D843" s="159"/>
      <c r="E843" s="159"/>
      <c r="F843" s="159"/>
      <c r="G843" s="159"/>
      <c r="H843" s="159"/>
      <c r="I843" s="159"/>
      <c r="J843" s="159"/>
      <c r="K843" s="159"/>
      <c r="L843" s="159"/>
      <c r="M843" s="159"/>
    </row>
    <row r="844" spans="2:13">
      <c r="B844" s="399"/>
      <c r="C844" s="159"/>
      <c r="D844" s="159"/>
      <c r="E844" s="159"/>
      <c r="F844" s="159"/>
      <c r="G844" s="159"/>
      <c r="H844" s="159"/>
      <c r="I844" s="159"/>
      <c r="J844" s="159"/>
      <c r="K844" s="159"/>
      <c r="L844" s="159"/>
      <c r="M844" s="159"/>
    </row>
    <row r="845" spans="2:13">
      <c r="B845" s="399"/>
      <c r="C845" s="159"/>
      <c r="D845" s="159"/>
      <c r="E845" s="159"/>
      <c r="F845" s="159"/>
      <c r="G845" s="159"/>
      <c r="H845" s="159"/>
      <c r="I845" s="159"/>
      <c r="J845" s="159"/>
      <c r="K845" s="159"/>
      <c r="L845" s="159"/>
      <c r="M845" s="159"/>
    </row>
    <row r="846" spans="2:13">
      <c r="B846" s="399"/>
      <c r="C846" s="159"/>
      <c r="D846" s="159"/>
      <c r="E846" s="159"/>
      <c r="F846" s="159"/>
      <c r="G846" s="159"/>
      <c r="H846" s="159"/>
      <c r="I846" s="159"/>
      <c r="J846" s="159"/>
      <c r="K846" s="159"/>
      <c r="L846" s="159"/>
      <c r="M846" s="159"/>
    </row>
    <row r="847" spans="2:13">
      <c r="B847" s="399"/>
      <c r="C847" s="159"/>
      <c r="D847" s="159"/>
      <c r="E847" s="159"/>
      <c r="F847" s="159"/>
      <c r="G847" s="159"/>
      <c r="H847" s="159"/>
      <c r="I847" s="159"/>
      <c r="J847" s="159"/>
      <c r="K847" s="159"/>
      <c r="L847" s="159"/>
      <c r="M847" s="159"/>
    </row>
    <row r="848" spans="2:13">
      <c r="B848" s="399"/>
      <c r="C848" s="159"/>
      <c r="D848" s="159"/>
      <c r="E848" s="159"/>
      <c r="F848" s="159"/>
      <c r="G848" s="159"/>
      <c r="H848" s="159"/>
      <c r="I848" s="159"/>
      <c r="J848" s="159"/>
      <c r="K848" s="159"/>
      <c r="L848" s="159"/>
      <c r="M848" s="159"/>
    </row>
    <row r="849" spans="2:13">
      <c r="B849" s="399"/>
      <c r="C849" s="159"/>
      <c r="D849" s="159"/>
      <c r="E849" s="159"/>
      <c r="F849" s="159"/>
      <c r="G849" s="159"/>
      <c r="H849" s="159"/>
      <c r="I849" s="159"/>
      <c r="J849" s="159"/>
      <c r="K849" s="159"/>
      <c r="L849" s="159"/>
      <c r="M849" s="159"/>
    </row>
    <row r="850" spans="2:13">
      <c r="B850" s="399"/>
      <c r="C850" s="159"/>
      <c r="D850" s="159"/>
      <c r="E850" s="159"/>
      <c r="F850" s="159"/>
      <c r="G850" s="159"/>
      <c r="H850" s="159"/>
      <c r="I850" s="159"/>
      <c r="J850" s="159"/>
      <c r="K850" s="159"/>
      <c r="L850" s="159"/>
      <c r="M850" s="159"/>
    </row>
    <row r="851" spans="2:13">
      <c r="B851" s="399"/>
      <c r="C851" s="159"/>
      <c r="D851" s="159"/>
      <c r="E851" s="159"/>
      <c r="F851" s="159"/>
      <c r="G851" s="159"/>
      <c r="H851" s="159"/>
      <c r="I851" s="159"/>
      <c r="J851" s="159"/>
      <c r="K851" s="159"/>
      <c r="L851" s="159"/>
      <c r="M851" s="159"/>
    </row>
    <row r="852" spans="2:13">
      <c r="B852" s="399"/>
      <c r="C852" s="159"/>
      <c r="D852" s="159"/>
      <c r="E852" s="159"/>
      <c r="F852" s="159"/>
      <c r="G852" s="159"/>
      <c r="H852" s="159"/>
      <c r="I852" s="159"/>
      <c r="J852" s="159"/>
      <c r="K852" s="159"/>
      <c r="L852" s="159"/>
      <c r="M852" s="159"/>
    </row>
    <row r="853" spans="2:13">
      <c r="B853" s="399"/>
      <c r="C853" s="159"/>
      <c r="D853" s="159"/>
      <c r="E853" s="159"/>
      <c r="F853" s="159"/>
      <c r="G853" s="159"/>
      <c r="H853" s="159"/>
      <c r="I853" s="159"/>
      <c r="J853" s="159"/>
      <c r="K853" s="159"/>
      <c r="L853" s="159"/>
      <c r="M853" s="159"/>
    </row>
    <row r="854" spans="2:13">
      <c r="B854" s="399"/>
      <c r="C854" s="159"/>
      <c r="D854" s="159"/>
      <c r="E854" s="159"/>
      <c r="F854" s="159"/>
      <c r="G854" s="159"/>
      <c r="H854" s="159"/>
      <c r="I854" s="159"/>
      <c r="J854" s="159"/>
      <c r="K854" s="159"/>
      <c r="L854" s="159"/>
      <c r="M854" s="159"/>
    </row>
    <row r="855" spans="2:13">
      <c r="B855" s="399"/>
      <c r="C855" s="159"/>
      <c r="D855" s="159"/>
      <c r="E855" s="159"/>
      <c r="F855" s="159"/>
      <c r="G855" s="159"/>
      <c r="H855" s="159"/>
      <c r="I855" s="159"/>
      <c r="J855" s="159"/>
      <c r="K855" s="159"/>
      <c r="L855" s="159"/>
      <c r="M855" s="159"/>
    </row>
    <row r="856" spans="2:13">
      <c r="B856" s="399"/>
      <c r="C856" s="159"/>
      <c r="D856" s="159"/>
      <c r="E856" s="159"/>
      <c r="F856" s="159"/>
      <c r="G856" s="159"/>
      <c r="H856" s="159"/>
      <c r="I856" s="159"/>
      <c r="J856" s="159"/>
      <c r="K856" s="159"/>
      <c r="L856" s="159"/>
      <c r="M856" s="159"/>
    </row>
    <row r="857" spans="2:13">
      <c r="B857" s="399"/>
      <c r="C857" s="159"/>
      <c r="D857" s="159"/>
      <c r="E857" s="159"/>
      <c r="F857" s="159"/>
      <c r="G857" s="159"/>
      <c r="H857" s="159"/>
      <c r="I857" s="159"/>
      <c r="J857" s="159"/>
      <c r="K857" s="159"/>
      <c r="L857" s="159"/>
      <c r="M857" s="159"/>
    </row>
    <row r="858" spans="2:13">
      <c r="B858" s="399"/>
      <c r="C858" s="159"/>
      <c r="D858" s="159"/>
      <c r="E858" s="159"/>
      <c r="F858" s="159"/>
      <c r="G858" s="159"/>
      <c r="H858" s="159"/>
      <c r="I858" s="159"/>
      <c r="J858" s="159"/>
      <c r="K858" s="159"/>
      <c r="L858" s="159"/>
      <c r="M858" s="159"/>
    </row>
    <row r="859" spans="2:13">
      <c r="B859" s="399"/>
      <c r="C859" s="159"/>
      <c r="D859" s="159"/>
      <c r="E859" s="159"/>
      <c r="F859" s="159"/>
      <c r="G859" s="159"/>
      <c r="H859" s="159"/>
      <c r="I859" s="159"/>
      <c r="J859" s="159"/>
      <c r="K859" s="159"/>
      <c r="L859" s="159"/>
      <c r="M859" s="159"/>
    </row>
    <row r="860" spans="2:13">
      <c r="B860" s="399"/>
      <c r="C860" s="159"/>
      <c r="D860" s="159"/>
      <c r="E860" s="159"/>
      <c r="F860" s="159"/>
      <c r="G860" s="159"/>
      <c r="H860" s="159"/>
      <c r="I860" s="159"/>
      <c r="J860" s="159"/>
      <c r="K860" s="159"/>
      <c r="L860" s="159"/>
      <c r="M860" s="159"/>
    </row>
    <row r="861" spans="2:13">
      <c r="B861" s="399"/>
      <c r="C861" s="159"/>
      <c r="D861" s="159"/>
      <c r="E861" s="159"/>
      <c r="F861" s="159"/>
      <c r="G861" s="159"/>
      <c r="H861" s="159"/>
      <c r="I861" s="159"/>
      <c r="J861" s="159"/>
      <c r="K861" s="159"/>
      <c r="L861" s="159"/>
      <c r="M861" s="159"/>
    </row>
    <row r="862" spans="2:13">
      <c r="B862" s="399"/>
      <c r="C862" s="159"/>
      <c r="D862" s="159"/>
      <c r="E862" s="159"/>
      <c r="F862" s="159"/>
      <c r="G862" s="159"/>
      <c r="H862" s="159"/>
      <c r="I862" s="159"/>
      <c r="J862" s="159"/>
      <c r="K862" s="159"/>
      <c r="L862" s="159"/>
      <c r="M862" s="159"/>
    </row>
    <row r="863" spans="2:13">
      <c r="B863" s="399"/>
      <c r="C863" s="159"/>
      <c r="D863" s="159"/>
      <c r="E863" s="159"/>
      <c r="F863" s="159"/>
      <c r="G863" s="159"/>
      <c r="H863" s="159"/>
      <c r="I863" s="159"/>
      <c r="J863" s="159"/>
      <c r="K863" s="159"/>
      <c r="L863" s="159"/>
      <c r="M863" s="159"/>
    </row>
    <row r="864" spans="2:13">
      <c r="B864" s="399"/>
      <c r="C864" s="159"/>
      <c r="D864" s="159"/>
      <c r="E864" s="159"/>
      <c r="F864" s="159"/>
      <c r="G864" s="159"/>
      <c r="H864" s="159"/>
      <c r="I864" s="159"/>
      <c r="J864" s="159"/>
      <c r="K864" s="159"/>
      <c r="L864" s="159"/>
      <c r="M864" s="159"/>
    </row>
    <row r="865" spans="2:13">
      <c r="B865" s="399"/>
      <c r="C865" s="159"/>
      <c r="D865" s="159"/>
      <c r="E865" s="159"/>
      <c r="F865" s="159"/>
      <c r="G865" s="159"/>
      <c r="H865" s="159"/>
      <c r="I865" s="159"/>
      <c r="J865" s="159"/>
      <c r="K865" s="159"/>
      <c r="L865" s="159"/>
      <c r="M865" s="159"/>
    </row>
    <row r="866" spans="2:13">
      <c r="B866" s="399"/>
      <c r="C866" s="159"/>
      <c r="D866" s="159"/>
      <c r="E866" s="159"/>
      <c r="F866" s="159"/>
      <c r="G866" s="159"/>
      <c r="H866" s="159"/>
      <c r="I866" s="159"/>
      <c r="J866" s="159"/>
      <c r="K866" s="159"/>
      <c r="L866" s="159"/>
      <c r="M866" s="159"/>
    </row>
    <row r="867" spans="2:13">
      <c r="B867" s="399"/>
      <c r="C867" s="159"/>
      <c r="D867" s="159"/>
      <c r="E867" s="159"/>
      <c r="F867" s="159"/>
      <c r="G867" s="159"/>
      <c r="H867" s="159"/>
      <c r="I867" s="159"/>
      <c r="J867" s="159"/>
      <c r="K867" s="159"/>
      <c r="L867" s="159"/>
      <c r="M867" s="159"/>
    </row>
    <row r="868" spans="2:13">
      <c r="B868" s="399"/>
      <c r="C868" s="159"/>
      <c r="D868" s="159"/>
      <c r="E868" s="159"/>
      <c r="F868" s="159"/>
      <c r="G868" s="159"/>
      <c r="H868" s="159"/>
      <c r="I868" s="159"/>
      <c r="J868" s="159"/>
      <c r="K868" s="159"/>
      <c r="L868" s="159"/>
      <c r="M868" s="159"/>
    </row>
    <row r="869" spans="2:13">
      <c r="B869" s="399"/>
      <c r="C869" s="159"/>
      <c r="D869" s="159"/>
      <c r="E869" s="159"/>
      <c r="F869" s="159"/>
      <c r="G869" s="159"/>
      <c r="H869" s="159"/>
      <c r="I869" s="159"/>
      <c r="J869" s="159"/>
      <c r="K869" s="159"/>
      <c r="L869" s="159"/>
      <c r="M869" s="159"/>
    </row>
    <row r="870" spans="2:13">
      <c r="B870" s="399"/>
      <c r="C870" s="159"/>
      <c r="D870" s="159"/>
      <c r="E870" s="159"/>
      <c r="F870" s="159"/>
      <c r="G870" s="159"/>
      <c r="H870" s="159"/>
      <c r="I870" s="159"/>
      <c r="J870" s="159"/>
      <c r="K870" s="159"/>
      <c r="L870" s="159"/>
      <c r="M870" s="159"/>
    </row>
    <row r="871" spans="2:13">
      <c r="B871" s="399"/>
      <c r="C871" s="159"/>
      <c r="D871" s="159"/>
      <c r="E871" s="159"/>
      <c r="F871" s="159"/>
      <c r="G871" s="159"/>
      <c r="H871" s="159"/>
      <c r="I871" s="159"/>
      <c r="J871" s="159"/>
      <c r="K871" s="159"/>
      <c r="L871" s="159"/>
      <c r="M871" s="159"/>
    </row>
    <row r="872" spans="2:13">
      <c r="B872" s="399"/>
      <c r="C872" s="159"/>
      <c r="D872" s="159"/>
      <c r="E872" s="159"/>
      <c r="F872" s="159"/>
      <c r="G872" s="159"/>
      <c r="H872" s="159"/>
      <c r="I872" s="159"/>
      <c r="J872" s="159"/>
      <c r="K872" s="159"/>
      <c r="L872" s="159"/>
      <c r="M872" s="159"/>
    </row>
    <row r="873" spans="2:13">
      <c r="B873" s="399"/>
      <c r="C873" s="159"/>
      <c r="D873" s="159"/>
      <c r="E873" s="159"/>
      <c r="F873" s="159"/>
      <c r="G873" s="159"/>
      <c r="H873" s="159"/>
      <c r="I873" s="159"/>
      <c r="J873" s="159"/>
      <c r="K873" s="159"/>
      <c r="L873" s="159"/>
      <c r="M873" s="159"/>
    </row>
    <row r="874" spans="2:13">
      <c r="B874" s="399"/>
      <c r="C874" s="159"/>
      <c r="D874" s="159"/>
      <c r="E874" s="159"/>
      <c r="F874" s="159"/>
      <c r="G874" s="159"/>
      <c r="H874" s="159"/>
      <c r="I874" s="159"/>
      <c r="J874" s="159"/>
      <c r="K874" s="159"/>
      <c r="L874" s="159"/>
      <c r="M874" s="159"/>
    </row>
    <row r="875" spans="2:13">
      <c r="B875" s="399"/>
      <c r="C875" s="159"/>
      <c r="D875" s="159"/>
      <c r="E875" s="159"/>
      <c r="F875" s="159"/>
      <c r="G875" s="159"/>
      <c r="H875" s="159"/>
      <c r="I875" s="159"/>
      <c r="J875" s="159"/>
      <c r="K875" s="159"/>
      <c r="L875" s="159"/>
      <c r="M875" s="159"/>
    </row>
    <row r="876" spans="2:13">
      <c r="B876" s="399"/>
      <c r="C876" s="159"/>
      <c r="D876" s="159"/>
      <c r="E876" s="159"/>
      <c r="F876" s="159"/>
      <c r="G876" s="159"/>
      <c r="H876" s="159"/>
      <c r="I876" s="159"/>
      <c r="J876" s="159"/>
      <c r="K876" s="159"/>
      <c r="L876" s="159"/>
      <c r="M876" s="159"/>
    </row>
    <row r="877" spans="2:13">
      <c r="B877" s="399"/>
      <c r="C877" s="159"/>
      <c r="D877" s="159"/>
      <c r="E877" s="159"/>
      <c r="F877" s="159"/>
      <c r="G877" s="159"/>
      <c r="H877" s="159"/>
      <c r="I877" s="159"/>
      <c r="J877" s="159"/>
      <c r="K877" s="159"/>
      <c r="L877" s="159"/>
      <c r="M877" s="159"/>
    </row>
    <row r="878" spans="2:13">
      <c r="B878" s="399"/>
      <c r="C878" s="159"/>
      <c r="D878" s="159"/>
      <c r="E878" s="159"/>
      <c r="F878" s="159"/>
      <c r="G878" s="159"/>
      <c r="H878" s="159"/>
      <c r="I878" s="159"/>
      <c r="J878" s="159"/>
      <c r="K878" s="159"/>
      <c r="L878" s="159"/>
      <c r="M878" s="159"/>
    </row>
    <row r="879" spans="2:13">
      <c r="B879" s="399"/>
      <c r="C879" s="159"/>
      <c r="D879" s="159"/>
      <c r="E879" s="159"/>
      <c r="F879" s="159"/>
      <c r="G879" s="159"/>
      <c r="H879" s="159"/>
      <c r="I879" s="159"/>
      <c r="J879" s="159"/>
      <c r="K879" s="159"/>
      <c r="L879" s="159"/>
      <c r="M879" s="159"/>
    </row>
    <row r="880" spans="2:13">
      <c r="B880" s="399"/>
      <c r="C880" s="159"/>
      <c r="D880" s="159"/>
      <c r="E880" s="159"/>
      <c r="F880" s="159"/>
      <c r="G880" s="159"/>
      <c r="H880" s="159"/>
      <c r="I880" s="159"/>
      <c r="J880" s="159"/>
      <c r="K880" s="159"/>
      <c r="L880" s="159"/>
      <c r="M880" s="159"/>
    </row>
    <row r="881" spans="2:13">
      <c r="B881" s="399"/>
      <c r="C881" s="159"/>
      <c r="D881" s="159"/>
      <c r="E881" s="159"/>
      <c r="F881" s="159"/>
      <c r="G881" s="159"/>
      <c r="H881" s="159"/>
      <c r="I881" s="159"/>
      <c r="J881" s="159"/>
      <c r="K881" s="159"/>
      <c r="L881" s="159"/>
      <c r="M881" s="159"/>
    </row>
    <row r="882" spans="2:13">
      <c r="B882" s="399"/>
      <c r="C882" s="159"/>
      <c r="D882" s="159"/>
      <c r="E882" s="159"/>
      <c r="F882" s="159"/>
      <c r="G882" s="159"/>
      <c r="H882" s="159"/>
      <c r="I882" s="159"/>
      <c r="J882" s="159"/>
      <c r="K882" s="159"/>
      <c r="L882" s="159"/>
      <c r="M882" s="159"/>
    </row>
    <row r="883" spans="2:13">
      <c r="B883" s="399"/>
      <c r="C883" s="159"/>
      <c r="D883" s="159"/>
      <c r="E883" s="159"/>
      <c r="F883" s="159"/>
      <c r="G883" s="159"/>
      <c r="H883" s="159"/>
      <c r="I883" s="159"/>
      <c r="J883" s="159"/>
      <c r="K883" s="159"/>
      <c r="L883" s="159"/>
      <c r="M883" s="159"/>
    </row>
    <row r="884" spans="2:13">
      <c r="B884" s="399"/>
      <c r="C884" s="159"/>
      <c r="D884" s="159"/>
      <c r="E884" s="159"/>
      <c r="F884" s="159"/>
      <c r="G884" s="159"/>
      <c r="H884" s="159"/>
      <c r="I884" s="159"/>
      <c r="J884" s="159"/>
      <c r="K884" s="159"/>
      <c r="L884" s="159"/>
      <c r="M884" s="159"/>
    </row>
    <row r="885" spans="2:13">
      <c r="B885" s="399"/>
      <c r="C885" s="159"/>
      <c r="D885" s="159"/>
      <c r="E885" s="159"/>
      <c r="F885" s="159"/>
      <c r="G885" s="159"/>
      <c r="H885" s="159"/>
      <c r="I885" s="159"/>
      <c r="J885" s="159"/>
      <c r="K885" s="159"/>
      <c r="L885" s="159"/>
      <c r="M885" s="159"/>
    </row>
    <row r="886" spans="2:13">
      <c r="B886" s="399"/>
      <c r="C886" s="159"/>
      <c r="D886" s="159"/>
      <c r="E886" s="159"/>
      <c r="F886" s="159"/>
      <c r="G886" s="159"/>
      <c r="H886" s="159"/>
      <c r="I886" s="159"/>
      <c r="J886" s="159"/>
      <c r="K886" s="159"/>
      <c r="L886" s="159"/>
      <c r="M886" s="159"/>
    </row>
    <row r="887" spans="2:13">
      <c r="B887" s="399"/>
      <c r="C887" s="159"/>
      <c r="D887" s="159"/>
      <c r="E887" s="159"/>
      <c r="F887" s="159"/>
      <c r="G887" s="159"/>
      <c r="H887" s="159"/>
      <c r="I887" s="159"/>
      <c r="J887" s="159"/>
      <c r="K887" s="159"/>
      <c r="L887" s="159"/>
      <c r="M887" s="159"/>
    </row>
    <row r="888" spans="2:13">
      <c r="B888" s="399"/>
      <c r="C888" s="159"/>
      <c r="D888" s="159"/>
      <c r="E888" s="159"/>
      <c r="F888" s="159"/>
      <c r="G888" s="159"/>
      <c r="H888" s="159"/>
      <c r="I888" s="159"/>
      <c r="J888" s="159"/>
      <c r="K888" s="159"/>
      <c r="L888" s="159"/>
      <c r="M888" s="159"/>
    </row>
    <row r="889" spans="2:13">
      <c r="B889" s="399"/>
      <c r="C889" s="159"/>
      <c r="D889" s="159"/>
      <c r="E889" s="159"/>
      <c r="F889" s="159"/>
      <c r="G889" s="159"/>
      <c r="H889" s="159"/>
      <c r="I889" s="159"/>
      <c r="J889" s="159"/>
      <c r="K889" s="159"/>
      <c r="L889" s="159"/>
      <c r="M889" s="159"/>
    </row>
    <row r="890" spans="2:13">
      <c r="B890" s="399"/>
      <c r="C890" s="159"/>
      <c r="D890" s="159"/>
      <c r="E890" s="159"/>
      <c r="F890" s="159"/>
      <c r="G890" s="159"/>
      <c r="H890" s="159"/>
      <c r="I890" s="159"/>
      <c r="J890" s="159"/>
      <c r="K890" s="159"/>
      <c r="L890" s="159"/>
      <c r="M890" s="159"/>
    </row>
    <row r="891" spans="2:13">
      <c r="B891" s="399"/>
      <c r="C891" s="159"/>
      <c r="D891" s="159"/>
      <c r="E891" s="159"/>
      <c r="F891" s="159"/>
      <c r="G891" s="159"/>
      <c r="H891" s="159"/>
      <c r="I891" s="159"/>
      <c r="J891" s="159"/>
      <c r="K891" s="159"/>
      <c r="L891" s="159"/>
      <c r="M891" s="159"/>
    </row>
    <row r="892" spans="2:13">
      <c r="B892" s="399"/>
      <c r="C892" s="159"/>
      <c r="D892" s="159"/>
      <c r="E892" s="159"/>
      <c r="F892" s="159"/>
      <c r="G892" s="159"/>
      <c r="H892" s="159"/>
      <c r="I892" s="159"/>
      <c r="J892" s="159"/>
      <c r="K892" s="159"/>
      <c r="L892" s="159"/>
      <c r="M892" s="159"/>
    </row>
    <row r="893" spans="2:13">
      <c r="B893" s="399"/>
      <c r="C893" s="159"/>
      <c r="D893" s="159"/>
      <c r="E893" s="159"/>
      <c r="F893" s="159"/>
      <c r="G893" s="159"/>
      <c r="H893" s="159"/>
      <c r="I893" s="159"/>
      <c r="J893" s="159"/>
      <c r="K893" s="159"/>
      <c r="L893" s="159"/>
      <c r="M893" s="159"/>
    </row>
    <row r="894" spans="2:13">
      <c r="B894" s="399"/>
      <c r="C894" s="159"/>
      <c r="D894" s="159"/>
      <c r="E894" s="159"/>
      <c r="F894" s="159"/>
      <c r="G894" s="159"/>
      <c r="H894" s="159"/>
      <c r="I894" s="159"/>
      <c r="J894" s="159"/>
      <c r="K894" s="159"/>
      <c r="L894" s="159"/>
      <c r="M894" s="159"/>
    </row>
    <row r="895" spans="2:13">
      <c r="B895" s="399"/>
      <c r="C895" s="159"/>
      <c r="D895" s="159"/>
      <c r="E895" s="159"/>
      <c r="F895" s="159"/>
      <c r="G895" s="159"/>
      <c r="H895" s="159"/>
      <c r="I895" s="159"/>
      <c r="J895" s="159"/>
      <c r="K895" s="159"/>
      <c r="L895" s="159"/>
      <c r="M895" s="159"/>
    </row>
    <row r="896" spans="2:13">
      <c r="B896" s="399"/>
      <c r="C896" s="159"/>
      <c r="D896" s="159"/>
      <c r="E896" s="159"/>
      <c r="F896" s="159"/>
      <c r="G896" s="159"/>
      <c r="H896" s="159"/>
      <c r="I896" s="159"/>
      <c r="J896" s="159"/>
      <c r="K896" s="159"/>
      <c r="L896" s="159"/>
      <c r="M896" s="159"/>
    </row>
    <row r="897" spans="2:13">
      <c r="B897" s="399"/>
      <c r="C897" s="159"/>
      <c r="D897" s="159"/>
      <c r="E897" s="159"/>
      <c r="F897" s="159"/>
      <c r="G897" s="159"/>
      <c r="H897" s="159"/>
      <c r="I897" s="159"/>
      <c r="J897" s="159"/>
      <c r="K897" s="159"/>
      <c r="L897" s="159"/>
      <c r="M897" s="159"/>
    </row>
    <row r="898" spans="2:13">
      <c r="B898" s="399"/>
      <c r="C898" s="159"/>
      <c r="D898" s="159"/>
      <c r="E898" s="159"/>
      <c r="F898" s="159"/>
      <c r="G898" s="159"/>
      <c r="H898" s="159"/>
      <c r="I898" s="159"/>
      <c r="J898" s="159"/>
      <c r="K898" s="159"/>
      <c r="L898" s="159"/>
      <c r="M898" s="159"/>
    </row>
    <row r="899" spans="2:13">
      <c r="B899" s="399"/>
      <c r="C899" s="159"/>
      <c r="D899" s="159"/>
      <c r="E899" s="159"/>
      <c r="F899" s="159"/>
      <c r="G899" s="159"/>
      <c r="H899" s="159"/>
      <c r="I899" s="159"/>
      <c r="J899" s="159"/>
      <c r="K899" s="159"/>
      <c r="L899" s="159"/>
      <c r="M899" s="159"/>
    </row>
    <row r="900" spans="2:13">
      <c r="B900" s="399"/>
      <c r="C900" s="159"/>
      <c r="D900" s="159"/>
      <c r="E900" s="159"/>
      <c r="F900" s="159"/>
      <c r="G900" s="159"/>
      <c r="H900" s="159"/>
      <c r="I900" s="159"/>
      <c r="J900" s="159"/>
      <c r="K900" s="159"/>
      <c r="L900" s="159"/>
      <c r="M900" s="159"/>
    </row>
    <row r="901" spans="2:13">
      <c r="B901" s="399"/>
      <c r="C901" s="159"/>
      <c r="D901" s="159"/>
      <c r="E901" s="159"/>
      <c r="F901" s="159"/>
      <c r="G901" s="159"/>
      <c r="H901" s="159"/>
      <c r="I901" s="159"/>
      <c r="J901" s="159"/>
      <c r="K901" s="159"/>
      <c r="L901" s="159"/>
      <c r="M901" s="159"/>
    </row>
    <row r="902" spans="2:13">
      <c r="B902" s="399"/>
      <c r="C902" s="159"/>
      <c r="D902" s="159"/>
      <c r="E902" s="159"/>
      <c r="F902" s="159"/>
      <c r="G902" s="159"/>
      <c r="H902" s="159"/>
      <c r="I902" s="159"/>
      <c r="J902" s="159"/>
      <c r="K902" s="159"/>
      <c r="L902" s="159"/>
      <c r="M902" s="159"/>
    </row>
    <row r="903" spans="2:13">
      <c r="B903" s="399"/>
      <c r="C903" s="159"/>
      <c r="D903" s="159"/>
      <c r="E903" s="159"/>
      <c r="F903" s="159"/>
      <c r="G903" s="159"/>
      <c r="H903" s="159"/>
      <c r="I903" s="159"/>
      <c r="J903" s="159"/>
      <c r="K903" s="159"/>
      <c r="L903" s="159"/>
      <c r="M903" s="159"/>
    </row>
    <row r="904" spans="2:13">
      <c r="B904" s="399"/>
      <c r="C904" s="159"/>
      <c r="D904" s="159"/>
      <c r="E904" s="159"/>
      <c r="F904" s="159"/>
      <c r="G904" s="159"/>
      <c r="H904" s="159"/>
      <c r="I904" s="159"/>
      <c r="J904" s="159"/>
      <c r="K904" s="159"/>
      <c r="L904" s="159"/>
      <c r="M904" s="159"/>
    </row>
    <row r="905" spans="2:13">
      <c r="B905" s="399"/>
      <c r="C905" s="159"/>
      <c r="D905" s="159"/>
      <c r="E905" s="159"/>
      <c r="F905" s="159"/>
      <c r="G905" s="159"/>
      <c r="H905" s="159"/>
      <c r="I905" s="159"/>
      <c r="J905" s="159"/>
      <c r="K905" s="159"/>
      <c r="L905" s="159"/>
      <c r="M905" s="159"/>
    </row>
    <row r="906" spans="2:13">
      <c r="B906" s="399"/>
      <c r="C906" s="159"/>
      <c r="D906" s="159"/>
      <c r="E906" s="159"/>
      <c r="F906" s="159"/>
      <c r="G906" s="159"/>
      <c r="H906" s="159"/>
      <c r="I906" s="159"/>
      <c r="J906" s="159"/>
      <c r="K906" s="159"/>
      <c r="L906" s="159"/>
      <c r="M906" s="159"/>
    </row>
    <row r="907" spans="2:13">
      <c r="B907" s="399"/>
      <c r="C907" s="159"/>
      <c r="D907" s="159"/>
      <c r="E907" s="159"/>
      <c r="F907" s="159"/>
      <c r="G907" s="159"/>
      <c r="H907" s="159"/>
      <c r="I907" s="159"/>
      <c r="J907" s="159"/>
      <c r="K907" s="159"/>
      <c r="L907" s="159"/>
      <c r="M907" s="159"/>
    </row>
    <row r="908" spans="2:13">
      <c r="B908" s="399"/>
      <c r="C908" s="159"/>
      <c r="D908" s="159"/>
      <c r="E908" s="159"/>
      <c r="F908" s="159"/>
      <c r="G908" s="159"/>
      <c r="H908" s="159"/>
      <c r="I908" s="159"/>
      <c r="J908" s="159"/>
      <c r="K908" s="159"/>
      <c r="L908" s="159"/>
      <c r="M908" s="159"/>
    </row>
    <row r="909" spans="2:13">
      <c r="B909" s="399"/>
      <c r="C909" s="159"/>
      <c r="D909" s="159"/>
      <c r="E909" s="159"/>
      <c r="F909" s="159"/>
      <c r="G909" s="159"/>
      <c r="H909" s="159"/>
      <c r="I909" s="159"/>
      <c r="J909" s="159"/>
      <c r="K909" s="159"/>
      <c r="L909" s="159"/>
      <c r="M909" s="159"/>
    </row>
    <row r="910" spans="2:13">
      <c r="B910" s="399"/>
      <c r="C910" s="159"/>
      <c r="D910" s="159"/>
      <c r="E910" s="159"/>
      <c r="F910" s="159"/>
      <c r="G910" s="159"/>
      <c r="H910" s="159"/>
      <c r="I910" s="159"/>
      <c r="J910" s="159"/>
      <c r="K910" s="159"/>
      <c r="L910" s="159"/>
      <c r="M910" s="159"/>
    </row>
    <row r="911" spans="2:13">
      <c r="B911" s="399"/>
      <c r="C911" s="159"/>
      <c r="D911" s="159"/>
      <c r="E911" s="159"/>
      <c r="F911" s="159"/>
      <c r="G911" s="159"/>
      <c r="H911" s="159"/>
      <c r="I911" s="159"/>
      <c r="J911" s="159"/>
      <c r="K911" s="159"/>
      <c r="L911" s="159"/>
      <c r="M911" s="159"/>
    </row>
    <row r="912" spans="2:13">
      <c r="B912" s="399"/>
      <c r="C912" s="159"/>
      <c r="D912" s="159"/>
      <c r="E912" s="159"/>
      <c r="F912" s="159"/>
      <c r="G912" s="159"/>
      <c r="H912" s="159"/>
      <c r="I912" s="159"/>
      <c r="J912" s="159"/>
      <c r="K912" s="159"/>
      <c r="L912" s="159"/>
      <c r="M912" s="159"/>
    </row>
    <row r="913" spans="2:13">
      <c r="B913" s="399"/>
      <c r="C913" s="159"/>
      <c r="D913" s="159"/>
      <c r="E913" s="159"/>
      <c r="F913" s="159"/>
      <c r="G913" s="159"/>
      <c r="H913" s="159"/>
      <c r="I913" s="159"/>
      <c r="J913" s="159"/>
      <c r="K913" s="159"/>
      <c r="L913" s="159"/>
      <c r="M913" s="159"/>
    </row>
    <row r="914" spans="2:13">
      <c r="B914" s="399"/>
      <c r="C914" s="159"/>
      <c r="D914" s="159"/>
      <c r="E914" s="159"/>
      <c r="F914" s="159"/>
      <c r="G914" s="159"/>
      <c r="H914" s="159"/>
      <c r="I914" s="159"/>
      <c r="J914" s="159"/>
      <c r="K914" s="159"/>
      <c r="L914" s="159"/>
      <c r="M914" s="159"/>
    </row>
    <row r="915" spans="2:13">
      <c r="B915" s="399"/>
      <c r="C915" s="159"/>
      <c r="D915" s="159"/>
      <c r="E915" s="159"/>
      <c r="F915" s="159"/>
      <c r="G915" s="159"/>
      <c r="H915" s="159"/>
      <c r="I915" s="159"/>
      <c r="J915" s="159"/>
      <c r="K915" s="159"/>
      <c r="L915" s="159"/>
      <c r="M915" s="159"/>
    </row>
    <row r="916" spans="2:13">
      <c r="B916" s="399"/>
      <c r="C916" s="159"/>
      <c r="D916" s="159"/>
      <c r="E916" s="159"/>
      <c r="F916" s="159"/>
      <c r="G916" s="159"/>
      <c r="H916" s="159"/>
      <c r="I916" s="159"/>
      <c r="J916" s="159"/>
      <c r="K916" s="159"/>
      <c r="L916" s="159"/>
      <c r="M916" s="159"/>
    </row>
    <row r="917" spans="2:13">
      <c r="B917" s="399"/>
      <c r="C917" s="159"/>
      <c r="D917" s="159"/>
      <c r="E917" s="159"/>
      <c r="F917" s="159"/>
      <c r="G917" s="159"/>
      <c r="H917" s="159"/>
      <c r="I917" s="159"/>
      <c r="J917" s="159"/>
      <c r="K917" s="159"/>
      <c r="L917" s="159"/>
      <c r="M917" s="159"/>
    </row>
    <row r="918" spans="2:13">
      <c r="B918" s="399"/>
      <c r="C918" s="159"/>
      <c r="D918" s="159"/>
      <c r="E918" s="159"/>
      <c r="F918" s="159"/>
      <c r="G918" s="159"/>
      <c r="H918" s="159"/>
      <c r="I918" s="159"/>
      <c r="J918" s="159"/>
      <c r="K918" s="159"/>
      <c r="L918" s="159"/>
      <c r="M918" s="159"/>
    </row>
    <row r="919" spans="2:13">
      <c r="B919" s="399"/>
      <c r="C919" s="159"/>
      <c r="D919" s="159"/>
      <c r="E919" s="159"/>
      <c r="F919" s="159"/>
      <c r="G919" s="159"/>
      <c r="H919" s="159"/>
      <c r="I919" s="159"/>
      <c r="J919" s="159"/>
      <c r="K919" s="159"/>
      <c r="L919" s="159"/>
      <c r="M919" s="159"/>
    </row>
    <row r="920" spans="2:13">
      <c r="B920" s="399"/>
      <c r="C920" s="159"/>
      <c r="D920" s="159"/>
      <c r="E920" s="159"/>
      <c r="F920" s="159"/>
      <c r="G920" s="159"/>
      <c r="H920" s="159"/>
      <c r="I920" s="159"/>
      <c r="J920" s="159"/>
      <c r="K920" s="159"/>
      <c r="L920" s="159"/>
      <c r="M920" s="159"/>
    </row>
    <row r="921" spans="2:13">
      <c r="B921" s="399"/>
      <c r="C921" s="159"/>
      <c r="D921" s="159"/>
      <c r="E921" s="159"/>
      <c r="F921" s="159"/>
      <c r="G921" s="159"/>
      <c r="H921" s="159"/>
      <c r="I921" s="159"/>
      <c r="J921" s="159"/>
      <c r="K921" s="159"/>
      <c r="L921" s="159"/>
      <c r="M921" s="159"/>
    </row>
    <row r="922" spans="2:13">
      <c r="B922" s="399"/>
      <c r="C922" s="159"/>
      <c r="D922" s="159"/>
      <c r="E922" s="159"/>
      <c r="F922" s="159"/>
      <c r="G922" s="159"/>
      <c r="H922" s="159"/>
      <c r="I922" s="159"/>
      <c r="J922" s="159"/>
      <c r="K922" s="159"/>
      <c r="L922" s="159"/>
      <c r="M922" s="159"/>
    </row>
    <row r="923" spans="2:13">
      <c r="B923" s="399"/>
      <c r="C923" s="159"/>
      <c r="D923" s="159"/>
      <c r="E923" s="159"/>
      <c r="F923" s="159"/>
      <c r="G923" s="159"/>
      <c r="H923" s="159"/>
      <c r="I923" s="159"/>
      <c r="J923" s="159"/>
      <c r="K923" s="159"/>
      <c r="L923" s="159"/>
      <c r="M923" s="159"/>
    </row>
    <row r="924" spans="2:13">
      <c r="B924" s="399"/>
      <c r="C924" s="159"/>
      <c r="D924" s="159"/>
      <c r="E924" s="159"/>
      <c r="F924" s="159"/>
      <c r="G924" s="159"/>
      <c r="H924" s="159"/>
      <c r="I924" s="159"/>
      <c r="J924" s="159"/>
      <c r="K924" s="159"/>
      <c r="L924" s="159"/>
      <c r="M924" s="159"/>
    </row>
    <row r="925" spans="2:13">
      <c r="B925" s="399"/>
      <c r="C925" s="159"/>
      <c r="D925" s="159"/>
      <c r="E925" s="159"/>
      <c r="F925" s="159"/>
      <c r="G925" s="159"/>
      <c r="H925" s="159"/>
      <c r="I925" s="159"/>
      <c r="J925" s="159"/>
      <c r="K925" s="159"/>
      <c r="L925" s="159"/>
      <c r="M925" s="159"/>
    </row>
    <row r="926" spans="2:13">
      <c r="B926" s="399"/>
      <c r="C926" s="159"/>
      <c r="D926" s="159"/>
      <c r="E926" s="159"/>
      <c r="F926" s="159"/>
      <c r="G926" s="159"/>
      <c r="H926" s="159"/>
      <c r="I926" s="159"/>
      <c r="J926" s="159"/>
      <c r="K926" s="159"/>
      <c r="L926" s="159"/>
      <c r="M926" s="159"/>
    </row>
    <row r="927" spans="2:13">
      <c r="B927" s="399"/>
      <c r="C927" s="159"/>
      <c r="D927" s="159"/>
      <c r="E927" s="159"/>
      <c r="F927" s="159"/>
      <c r="G927" s="159"/>
      <c r="H927" s="159"/>
      <c r="I927" s="159"/>
      <c r="J927" s="159"/>
      <c r="K927" s="159"/>
      <c r="L927" s="159"/>
      <c r="M927" s="159"/>
    </row>
    <row r="928" spans="2:13">
      <c r="B928" s="399"/>
      <c r="C928" s="159"/>
      <c r="D928" s="159"/>
      <c r="E928" s="159"/>
      <c r="F928" s="159"/>
      <c r="G928" s="159"/>
      <c r="H928" s="159"/>
      <c r="I928" s="159"/>
      <c r="J928" s="159"/>
      <c r="K928" s="159"/>
      <c r="L928" s="159"/>
      <c r="M928" s="159"/>
    </row>
    <row r="929" spans="2:13">
      <c r="B929" s="399"/>
      <c r="C929" s="159"/>
      <c r="D929" s="159"/>
      <c r="E929" s="159"/>
      <c r="F929" s="159"/>
      <c r="G929" s="159"/>
      <c r="H929" s="159"/>
      <c r="I929" s="159"/>
      <c r="J929" s="159"/>
      <c r="K929" s="159"/>
      <c r="L929" s="159"/>
      <c r="M929" s="159"/>
    </row>
    <row r="930" spans="2:13">
      <c r="B930" s="399"/>
      <c r="C930" s="159"/>
      <c r="D930" s="159"/>
      <c r="E930" s="159"/>
      <c r="F930" s="159"/>
      <c r="G930" s="159"/>
      <c r="H930" s="159"/>
      <c r="I930" s="159"/>
      <c r="J930" s="159"/>
      <c r="K930" s="159"/>
      <c r="L930" s="159"/>
      <c r="M930" s="159"/>
    </row>
    <row r="931" spans="2:13">
      <c r="B931" s="399"/>
      <c r="C931" s="159"/>
      <c r="D931" s="159"/>
      <c r="E931" s="159"/>
      <c r="F931" s="159"/>
      <c r="G931" s="159"/>
      <c r="H931" s="159"/>
      <c r="I931" s="159"/>
      <c r="J931" s="159"/>
      <c r="K931" s="159"/>
      <c r="L931" s="159"/>
      <c r="M931" s="159"/>
    </row>
    <row r="932" spans="2:13">
      <c r="B932" s="399"/>
      <c r="C932" s="159"/>
      <c r="D932" s="159"/>
      <c r="E932" s="159"/>
      <c r="F932" s="159"/>
      <c r="G932" s="159"/>
      <c r="H932" s="159"/>
      <c r="I932" s="159"/>
      <c r="J932" s="159"/>
      <c r="K932" s="159"/>
      <c r="L932" s="159"/>
      <c r="M932" s="159"/>
    </row>
    <row r="933" spans="2:13">
      <c r="B933" s="399"/>
      <c r="C933" s="159"/>
      <c r="D933" s="159"/>
      <c r="E933" s="159"/>
      <c r="F933" s="159"/>
      <c r="G933" s="159"/>
      <c r="H933" s="159"/>
      <c r="I933" s="159"/>
      <c r="J933" s="159"/>
      <c r="K933" s="159"/>
      <c r="L933" s="159"/>
      <c r="M933" s="159"/>
    </row>
    <row r="934" spans="2:13">
      <c r="B934" s="399"/>
      <c r="C934" s="159"/>
      <c r="D934" s="159"/>
      <c r="E934" s="159"/>
      <c r="F934" s="159"/>
      <c r="G934" s="159"/>
      <c r="H934" s="159"/>
      <c r="I934" s="159"/>
      <c r="J934" s="159"/>
      <c r="K934" s="159"/>
      <c r="L934" s="159"/>
      <c r="M934" s="159"/>
    </row>
    <row r="935" spans="2:13">
      <c r="B935" s="399"/>
      <c r="C935" s="159"/>
      <c r="D935" s="159"/>
      <c r="E935" s="159"/>
      <c r="F935" s="159"/>
      <c r="G935" s="159"/>
      <c r="H935" s="159"/>
      <c r="I935" s="159"/>
      <c r="J935" s="159"/>
      <c r="K935" s="159"/>
      <c r="L935" s="159"/>
      <c r="M935" s="159"/>
    </row>
    <row r="936" spans="2:13">
      <c r="B936" s="399"/>
      <c r="C936" s="159"/>
      <c r="D936" s="159"/>
      <c r="E936" s="159"/>
      <c r="F936" s="159"/>
      <c r="G936" s="159"/>
      <c r="H936" s="159"/>
      <c r="I936" s="159"/>
      <c r="J936" s="159"/>
      <c r="K936" s="159"/>
      <c r="L936" s="159"/>
      <c r="M936" s="159"/>
    </row>
    <row r="937" spans="2:13">
      <c r="B937" s="399"/>
      <c r="C937" s="159"/>
      <c r="D937" s="159"/>
      <c r="E937" s="159"/>
      <c r="F937" s="159"/>
      <c r="G937" s="159"/>
      <c r="H937" s="159"/>
      <c r="I937" s="159"/>
      <c r="J937" s="159"/>
      <c r="K937" s="159"/>
      <c r="L937" s="159"/>
      <c r="M937" s="159"/>
    </row>
    <row r="938" spans="2:13">
      <c r="B938" s="399"/>
      <c r="C938" s="159"/>
      <c r="D938" s="159"/>
      <c r="E938" s="159"/>
      <c r="F938" s="159"/>
      <c r="G938" s="159"/>
      <c r="H938" s="159"/>
      <c r="I938" s="159"/>
      <c r="J938" s="159"/>
      <c r="K938" s="159"/>
      <c r="L938" s="159"/>
      <c r="M938" s="159"/>
    </row>
    <row r="939" spans="2:13">
      <c r="B939" s="399"/>
      <c r="C939" s="159"/>
      <c r="D939" s="159"/>
      <c r="E939" s="159"/>
      <c r="F939" s="159"/>
      <c r="G939" s="159"/>
      <c r="H939" s="159"/>
      <c r="I939" s="159"/>
      <c r="J939" s="159"/>
      <c r="K939" s="159"/>
      <c r="L939" s="159"/>
      <c r="M939" s="159"/>
    </row>
    <row r="940" spans="2:13">
      <c r="B940" s="399"/>
      <c r="C940" s="159"/>
      <c r="D940" s="159"/>
      <c r="E940" s="159"/>
      <c r="F940" s="159"/>
      <c r="G940" s="159"/>
      <c r="H940" s="159"/>
      <c r="I940" s="159"/>
      <c r="J940" s="159"/>
      <c r="K940" s="159"/>
      <c r="L940" s="159"/>
      <c r="M940" s="159"/>
    </row>
    <row r="941" spans="2:13">
      <c r="B941" s="399"/>
      <c r="C941" s="159"/>
      <c r="D941" s="159"/>
      <c r="E941" s="159"/>
      <c r="F941" s="159"/>
      <c r="G941" s="159"/>
      <c r="H941" s="159"/>
      <c r="I941" s="159"/>
      <c r="J941" s="159"/>
      <c r="K941" s="159"/>
      <c r="L941" s="159"/>
      <c r="M941" s="159"/>
    </row>
    <row r="942" spans="2:13">
      <c r="B942" s="399"/>
      <c r="C942" s="159"/>
      <c r="D942" s="159"/>
      <c r="E942" s="159"/>
      <c r="F942" s="159"/>
      <c r="G942" s="159"/>
      <c r="H942" s="159"/>
      <c r="I942" s="159"/>
      <c r="J942" s="159"/>
      <c r="K942" s="159"/>
      <c r="L942" s="159"/>
      <c r="M942" s="159"/>
    </row>
    <row r="943" spans="2:13">
      <c r="B943" s="399"/>
      <c r="C943" s="159"/>
      <c r="D943" s="159"/>
      <c r="E943" s="159"/>
      <c r="F943" s="159"/>
      <c r="G943" s="159"/>
      <c r="H943" s="159"/>
      <c r="I943" s="159"/>
      <c r="J943" s="159"/>
      <c r="K943" s="159"/>
      <c r="L943" s="159"/>
      <c r="M943" s="159"/>
    </row>
    <row r="944" spans="2:13">
      <c r="B944" s="399"/>
      <c r="C944" s="159"/>
      <c r="D944" s="159"/>
      <c r="E944" s="159"/>
      <c r="F944" s="159"/>
      <c r="G944" s="159"/>
      <c r="H944" s="159"/>
      <c r="I944" s="159"/>
      <c r="J944" s="159"/>
      <c r="K944" s="159"/>
      <c r="L944" s="159"/>
      <c r="M944" s="159"/>
    </row>
    <row r="945" spans="2:13">
      <c r="B945" s="399"/>
      <c r="C945" s="159"/>
      <c r="D945" s="159"/>
      <c r="E945" s="159"/>
      <c r="F945" s="159"/>
      <c r="G945" s="159"/>
      <c r="H945" s="159"/>
      <c r="I945" s="159"/>
      <c r="J945" s="159"/>
      <c r="K945" s="159"/>
      <c r="L945" s="159"/>
      <c r="M945" s="159"/>
    </row>
    <row r="946" spans="2:13">
      <c r="B946" s="399"/>
      <c r="C946" s="159"/>
      <c r="D946" s="159"/>
      <c r="E946" s="159"/>
      <c r="F946" s="159"/>
      <c r="G946" s="159"/>
      <c r="H946" s="159"/>
      <c r="I946" s="159"/>
      <c r="J946" s="159"/>
      <c r="K946" s="159"/>
      <c r="L946" s="159"/>
      <c r="M946" s="159"/>
    </row>
    <row r="947" spans="2:13">
      <c r="B947" s="399"/>
      <c r="C947" s="159"/>
      <c r="D947" s="159"/>
      <c r="E947" s="159"/>
      <c r="F947" s="159"/>
      <c r="G947" s="159"/>
      <c r="H947" s="159"/>
      <c r="I947" s="159"/>
      <c r="J947" s="159"/>
      <c r="K947" s="159"/>
      <c r="L947" s="159"/>
      <c r="M947" s="159"/>
    </row>
    <row r="948" spans="2:13">
      <c r="B948" s="399"/>
      <c r="C948" s="159"/>
      <c r="D948" s="159"/>
      <c r="E948" s="159"/>
      <c r="F948" s="159"/>
      <c r="G948" s="159"/>
      <c r="H948" s="159"/>
      <c r="I948" s="159"/>
      <c r="J948" s="159"/>
      <c r="K948" s="159"/>
      <c r="L948" s="159"/>
      <c r="M948" s="159"/>
    </row>
    <row r="949" spans="2:13">
      <c r="B949" s="399"/>
      <c r="C949" s="159"/>
      <c r="D949" s="159"/>
      <c r="E949" s="159"/>
      <c r="F949" s="159"/>
      <c r="G949" s="159"/>
      <c r="H949" s="159"/>
      <c r="I949" s="159"/>
      <c r="J949" s="159"/>
      <c r="K949" s="159"/>
      <c r="L949" s="159"/>
      <c r="M949" s="159"/>
    </row>
    <row r="950" spans="2:13">
      <c r="B950" s="399"/>
      <c r="C950" s="159"/>
      <c r="D950" s="159"/>
      <c r="E950" s="159"/>
      <c r="F950" s="159"/>
      <c r="G950" s="159"/>
      <c r="H950" s="159"/>
      <c r="I950" s="159"/>
      <c r="J950" s="159"/>
      <c r="K950" s="159"/>
      <c r="L950" s="159"/>
      <c r="M950" s="159"/>
    </row>
    <row r="951" spans="2:13">
      <c r="B951" s="399"/>
      <c r="C951" s="159"/>
      <c r="D951" s="159"/>
      <c r="E951" s="159"/>
      <c r="F951" s="159"/>
      <c r="G951" s="159"/>
      <c r="H951" s="159"/>
      <c r="I951" s="159"/>
      <c r="J951" s="159"/>
      <c r="K951" s="159"/>
      <c r="L951" s="159"/>
      <c r="M951" s="159"/>
    </row>
    <row r="952" spans="2:13">
      <c r="B952" s="399"/>
      <c r="C952" s="159"/>
      <c r="D952" s="159"/>
      <c r="E952" s="159"/>
      <c r="F952" s="159"/>
      <c r="G952" s="159"/>
      <c r="H952" s="159"/>
      <c r="I952" s="159"/>
      <c r="J952" s="159"/>
      <c r="K952" s="159"/>
      <c r="L952" s="159"/>
      <c r="M952" s="159"/>
    </row>
    <row r="953" spans="2:13">
      <c r="B953" s="399"/>
      <c r="C953" s="159"/>
      <c r="D953" s="159"/>
      <c r="E953" s="159"/>
      <c r="F953" s="159"/>
      <c r="G953" s="159"/>
      <c r="H953" s="159"/>
      <c r="I953" s="159"/>
      <c r="J953" s="159"/>
      <c r="K953" s="159"/>
      <c r="L953" s="159"/>
      <c r="M953" s="159"/>
    </row>
    <row r="954" spans="2:13">
      <c r="B954" s="399"/>
      <c r="C954" s="159"/>
      <c r="D954" s="159"/>
      <c r="E954" s="159"/>
      <c r="F954" s="159"/>
      <c r="G954" s="159"/>
      <c r="H954" s="159"/>
      <c r="I954" s="159"/>
      <c r="J954" s="159"/>
      <c r="K954" s="159"/>
      <c r="L954" s="159"/>
      <c r="M954" s="159"/>
    </row>
    <row r="955" spans="2:13">
      <c r="B955" s="399"/>
      <c r="C955" s="159"/>
      <c r="D955" s="159"/>
      <c r="E955" s="159"/>
      <c r="F955" s="159"/>
      <c r="G955" s="159"/>
      <c r="H955" s="159"/>
      <c r="I955" s="159"/>
      <c r="J955" s="159"/>
      <c r="K955" s="159"/>
      <c r="L955" s="159"/>
      <c r="M955" s="159"/>
    </row>
    <row r="956" spans="2:13">
      <c r="B956" s="399"/>
      <c r="C956" s="159"/>
      <c r="D956" s="159"/>
      <c r="E956" s="159"/>
      <c r="F956" s="159"/>
      <c r="G956" s="159"/>
      <c r="H956" s="159"/>
      <c r="I956" s="159"/>
      <c r="J956" s="159"/>
      <c r="K956" s="159"/>
      <c r="L956" s="159"/>
      <c r="M956" s="159"/>
    </row>
    <row r="957" spans="2:13">
      <c r="B957" s="399"/>
      <c r="C957" s="159"/>
      <c r="D957" s="159"/>
      <c r="E957" s="159"/>
      <c r="F957" s="159"/>
      <c r="G957" s="159"/>
      <c r="H957" s="159"/>
      <c r="I957" s="159"/>
      <c r="J957" s="159"/>
      <c r="K957" s="159"/>
      <c r="L957" s="159"/>
      <c r="M957" s="159"/>
    </row>
    <row r="958" spans="2:13">
      <c r="B958" s="399"/>
      <c r="C958" s="159"/>
      <c r="D958" s="159"/>
      <c r="E958" s="159"/>
      <c r="F958" s="159"/>
      <c r="G958" s="159"/>
      <c r="H958" s="159"/>
      <c r="I958" s="159"/>
      <c r="J958" s="159"/>
      <c r="K958" s="159"/>
      <c r="L958" s="159"/>
      <c r="M958" s="159"/>
    </row>
    <row r="959" spans="2:13">
      <c r="B959" s="399"/>
      <c r="C959" s="159"/>
      <c r="D959" s="159"/>
      <c r="E959" s="159"/>
      <c r="F959" s="159"/>
      <c r="G959" s="159"/>
      <c r="H959" s="159"/>
      <c r="I959" s="159"/>
      <c r="J959" s="159"/>
      <c r="K959" s="159"/>
      <c r="L959" s="159"/>
      <c r="M959" s="159"/>
    </row>
    <row r="960" spans="2:13">
      <c r="B960" s="399"/>
      <c r="C960" s="159"/>
      <c r="D960" s="159"/>
      <c r="E960" s="159"/>
      <c r="F960" s="159"/>
      <c r="G960" s="159"/>
      <c r="H960" s="159"/>
      <c r="I960" s="159"/>
      <c r="J960" s="159"/>
      <c r="K960" s="159"/>
      <c r="L960" s="159"/>
      <c r="M960" s="159"/>
    </row>
    <row r="961" spans="2:13">
      <c r="B961" s="399"/>
      <c r="C961" s="159"/>
      <c r="D961" s="159"/>
      <c r="E961" s="159"/>
      <c r="F961" s="159"/>
      <c r="G961" s="159"/>
      <c r="H961" s="159"/>
      <c r="I961" s="159"/>
      <c r="J961" s="159"/>
      <c r="K961" s="159"/>
      <c r="L961" s="159"/>
      <c r="M961" s="159"/>
    </row>
    <row r="962" spans="2:13">
      <c r="B962" s="399"/>
      <c r="C962" s="159"/>
      <c r="D962" s="159"/>
      <c r="E962" s="159"/>
      <c r="F962" s="159"/>
      <c r="G962" s="159"/>
      <c r="H962" s="159"/>
      <c r="I962" s="159"/>
      <c r="J962" s="159"/>
      <c r="K962" s="159"/>
      <c r="L962" s="159"/>
      <c r="M962" s="159"/>
    </row>
    <row r="963" spans="2:13">
      <c r="B963" s="399"/>
      <c r="C963" s="159"/>
      <c r="D963" s="159"/>
      <c r="E963" s="159"/>
      <c r="F963" s="159"/>
      <c r="G963" s="159"/>
      <c r="H963" s="159"/>
      <c r="I963" s="159"/>
      <c r="J963" s="159"/>
      <c r="K963" s="159"/>
      <c r="L963" s="159"/>
      <c r="M963" s="159"/>
    </row>
    <row r="964" spans="2:13">
      <c r="B964" s="399"/>
      <c r="C964" s="159"/>
      <c r="D964" s="159"/>
      <c r="E964" s="159"/>
      <c r="F964" s="159"/>
      <c r="G964" s="159"/>
      <c r="H964" s="159"/>
      <c r="I964" s="159"/>
      <c r="J964" s="159"/>
      <c r="K964" s="159"/>
      <c r="L964" s="159"/>
      <c r="M964" s="159"/>
    </row>
    <row r="965" spans="2:13">
      <c r="B965" s="399"/>
      <c r="C965" s="159"/>
      <c r="D965" s="159"/>
      <c r="E965" s="159"/>
      <c r="F965" s="159"/>
      <c r="G965" s="159"/>
      <c r="H965" s="159"/>
      <c r="I965" s="159"/>
      <c r="J965" s="159"/>
      <c r="K965" s="159"/>
      <c r="L965" s="159"/>
      <c r="M965" s="159"/>
    </row>
    <row r="966" spans="2:13">
      <c r="B966" s="399"/>
      <c r="C966" s="159"/>
      <c r="D966" s="159"/>
      <c r="E966" s="159"/>
      <c r="F966" s="159"/>
      <c r="G966" s="159"/>
      <c r="H966" s="159"/>
      <c r="I966" s="159"/>
      <c r="J966" s="159"/>
      <c r="K966" s="159"/>
      <c r="L966" s="159"/>
      <c r="M966" s="159"/>
    </row>
    <row r="967" spans="2:13">
      <c r="B967" s="399"/>
      <c r="C967" s="159"/>
      <c r="D967" s="159"/>
      <c r="E967" s="159"/>
      <c r="F967" s="159"/>
      <c r="G967" s="159"/>
      <c r="H967" s="159"/>
      <c r="I967" s="159"/>
      <c r="J967" s="159"/>
      <c r="K967" s="159"/>
      <c r="L967" s="159"/>
      <c r="M967" s="159"/>
    </row>
    <row r="968" spans="2:13">
      <c r="B968" s="399"/>
      <c r="C968" s="159"/>
      <c r="D968" s="159"/>
      <c r="E968" s="159"/>
      <c r="F968" s="159"/>
      <c r="G968" s="159"/>
      <c r="H968" s="159"/>
      <c r="I968" s="159"/>
      <c r="J968" s="159"/>
      <c r="K968" s="159"/>
      <c r="L968" s="159"/>
      <c r="M968" s="159"/>
    </row>
    <row r="969" spans="2:13">
      <c r="B969" s="399"/>
      <c r="C969" s="159"/>
      <c r="D969" s="159"/>
      <c r="E969" s="159"/>
      <c r="F969" s="159"/>
      <c r="G969" s="159"/>
      <c r="H969" s="159"/>
      <c r="I969" s="159"/>
      <c r="J969" s="159"/>
      <c r="K969" s="159"/>
      <c r="L969" s="159"/>
      <c r="M969" s="159"/>
    </row>
    <row r="970" spans="2:13">
      <c r="B970" s="399"/>
      <c r="C970" s="159"/>
      <c r="D970" s="159"/>
      <c r="E970" s="159"/>
      <c r="F970" s="159"/>
      <c r="G970" s="159"/>
      <c r="H970" s="159"/>
      <c r="I970" s="159"/>
      <c r="J970" s="159"/>
      <c r="K970" s="159"/>
      <c r="L970" s="159"/>
      <c r="M970" s="159"/>
    </row>
    <row r="971" spans="2:13">
      <c r="B971" s="399"/>
      <c r="C971" s="159"/>
      <c r="D971" s="159"/>
      <c r="E971" s="159"/>
      <c r="F971" s="159"/>
      <c r="G971" s="159"/>
      <c r="H971" s="159"/>
      <c r="I971" s="159"/>
      <c r="J971" s="159"/>
      <c r="K971" s="159"/>
      <c r="L971" s="159"/>
      <c r="M971" s="159"/>
    </row>
    <row r="972" spans="2:13">
      <c r="B972" s="399"/>
      <c r="C972" s="159"/>
      <c r="D972" s="159"/>
      <c r="E972" s="159"/>
      <c r="F972" s="159"/>
      <c r="G972" s="159"/>
      <c r="H972" s="159"/>
      <c r="I972" s="159"/>
      <c r="J972" s="159"/>
      <c r="K972" s="159"/>
      <c r="L972" s="159"/>
      <c r="M972" s="159"/>
    </row>
    <row r="973" spans="2:13">
      <c r="B973" s="399"/>
      <c r="C973" s="159"/>
      <c r="D973" s="159"/>
      <c r="E973" s="159"/>
      <c r="F973" s="159"/>
      <c r="G973" s="159"/>
      <c r="H973" s="159"/>
      <c r="I973" s="159"/>
      <c r="J973" s="159"/>
      <c r="K973" s="159"/>
      <c r="L973" s="159"/>
      <c r="M973" s="159"/>
    </row>
    <row r="974" spans="2:13">
      <c r="B974" s="399"/>
      <c r="C974" s="159"/>
      <c r="D974" s="159"/>
      <c r="E974" s="159"/>
      <c r="F974" s="159"/>
      <c r="G974" s="159"/>
      <c r="H974" s="159"/>
      <c r="I974" s="159"/>
      <c r="J974" s="159"/>
      <c r="K974" s="159"/>
      <c r="L974" s="159"/>
      <c r="M974" s="159"/>
    </row>
    <row r="975" spans="2:13">
      <c r="B975" s="399"/>
      <c r="C975" s="159"/>
      <c r="D975" s="159"/>
      <c r="E975" s="159"/>
      <c r="F975" s="159"/>
      <c r="G975" s="159"/>
      <c r="H975" s="159"/>
      <c r="I975" s="159"/>
      <c r="J975" s="159"/>
      <c r="K975" s="159"/>
      <c r="L975" s="159"/>
      <c r="M975" s="159"/>
    </row>
    <row r="976" spans="2:13">
      <c r="B976" s="399"/>
      <c r="C976" s="159"/>
      <c r="D976" s="159"/>
      <c r="E976" s="159"/>
      <c r="F976" s="159"/>
      <c r="G976" s="159"/>
      <c r="H976" s="159"/>
      <c r="I976" s="159"/>
      <c r="J976" s="159"/>
      <c r="K976" s="159"/>
      <c r="L976" s="159"/>
      <c r="M976" s="159"/>
    </row>
    <row r="977" spans="2:13">
      <c r="B977" s="399"/>
      <c r="C977" s="159"/>
      <c r="D977" s="159"/>
      <c r="E977" s="159"/>
      <c r="F977" s="159"/>
      <c r="G977" s="159"/>
      <c r="H977" s="159"/>
      <c r="I977" s="159"/>
      <c r="J977" s="159"/>
      <c r="K977" s="159"/>
      <c r="L977" s="159"/>
      <c r="M977" s="159"/>
    </row>
    <row r="978" spans="2:13">
      <c r="B978" s="399"/>
      <c r="C978" s="159"/>
      <c r="D978" s="159"/>
      <c r="E978" s="159"/>
      <c r="F978" s="159"/>
      <c r="G978" s="159"/>
      <c r="H978" s="159"/>
      <c r="I978" s="159"/>
      <c r="J978" s="159"/>
      <c r="K978" s="159"/>
      <c r="L978" s="159"/>
      <c r="M978" s="159"/>
    </row>
    <row r="979" spans="2:13">
      <c r="B979" s="399"/>
      <c r="C979" s="159"/>
      <c r="D979" s="159"/>
      <c r="E979" s="159"/>
      <c r="F979" s="159"/>
      <c r="G979" s="159"/>
      <c r="H979" s="159"/>
      <c r="I979" s="159"/>
      <c r="J979" s="159"/>
      <c r="K979" s="159"/>
      <c r="L979" s="159"/>
      <c r="M979" s="159"/>
    </row>
    <row r="980" spans="2:13">
      <c r="B980" s="399"/>
      <c r="C980" s="159"/>
      <c r="D980" s="159"/>
      <c r="E980" s="159"/>
      <c r="F980" s="159"/>
      <c r="G980" s="159"/>
      <c r="H980" s="159"/>
      <c r="I980" s="159"/>
      <c r="J980" s="159"/>
      <c r="K980" s="159"/>
      <c r="L980" s="159"/>
      <c r="M980" s="159"/>
    </row>
    <row r="981" spans="2:13">
      <c r="B981" s="399"/>
      <c r="C981" s="159"/>
      <c r="D981" s="159"/>
      <c r="E981" s="159"/>
      <c r="F981" s="159"/>
      <c r="G981" s="159"/>
      <c r="H981" s="159"/>
      <c r="I981" s="159"/>
      <c r="J981" s="159"/>
      <c r="K981" s="159"/>
      <c r="L981" s="159"/>
      <c r="M981" s="159"/>
    </row>
    <row r="982" spans="2:13">
      <c r="B982" s="399"/>
      <c r="C982" s="159"/>
      <c r="D982" s="159"/>
      <c r="E982" s="159"/>
      <c r="F982" s="159"/>
      <c r="G982" s="159"/>
      <c r="H982" s="159"/>
      <c r="I982" s="159"/>
      <c r="J982" s="159"/>
      <c r="K982" s="159"/>
      <c r="L982" s="159"/>
      <c r="M982" s="159"/>
    </row>
    <row r="983" spans="2:13">
      <c r="B983" s="399"/>
      <c r="C983" s="159"/>
      <c r="D983" s="159"/>
      <c r="E983" s="159"/>
      <c r="F983" s="159"/>
      <c r="G983" s="159"/>
      <c r="H983" s="159"/>
      <c r="I983" s="159"/>
      <c r="J983" s="159"/>
      <c r="K983" s="159"/>
      <c r="L983" s="159"/>
      <c r="M983" s="159"/>
    </row>
    <row r="984" spans="2:13">
      <c r="B984" s="399"/>
      <c r="C984" s="159"/>
      <c r="D984" s="159"/>
      <c r="E984" s="159"/>
      <c r="F984" s="159"/>
      <c r="G984" s="159"/>
      <c r="H984" s="159"/>
      <c r="I984" s="159"/>
      <c r="J984" s="159"/>
      <c r="K984" s="159"/>
      <c r="L984" s="159"/>
      <c r="M984" s="159"/>
    </row>
    <row r="985" spans="2:13">
      <c r="B985" s="399"/>
      <c r="C985" s="159"/>
      <c r="D985" s="159"/>
      <c r="E985" s="159"/>
      <c r="F985" s="159"/>
      <c r="G985" s="159"/>
      <c r="H985" s="159"/>
      <c r="I985" s="159"/>
      <c r="J985" s="159"/>
      <c r="K985" s="159"/>
      <c r="L985" s="159"/>
      <c r="M985" s="159"/>
    </row>
    <row r="986" spans="2:13">
      <c r="B986" s="399"/>
      <c r="C986" s="159"/>
      <c r="D986" s="159"/>
      <c r="E986" s="159"/>
      <c r="F986" s="159"/>
      <c r="G986" s="159"/>
      <c r="H986" s="159"/>
      <c r="I986" s="159"/>
      <c r="J986" s="159"/>
      <c r="K986" s="159"/>
      <c r="L986" s="159"/>
      <c r="M986" s="159"/>
    </row>
    <row r="987" spans="2:13">
      <c r="B987" s="399"/>
      <c r="C987" s="159"/>
      <c r="D987" s="159"/>
      <c r="E987" s="159"/>
      <c r="F987" s="159"/>
      <c r="G987" s="159"/>
      <c r="H987" s="159"/>
      <c r="I987" s="159"/>
      <c r="J987" s="159"/>
      <c r="K987" s="159"/>
      <c r="L987" s="159"/>
      <c r="M987" s="159"/>
    </row>
    <row r="988" spans="2:13">
      <c r="B988" s="399"/>
      <c r="C988" s="159"/>
      <c r="D988" s="159"/>
      <c r="E988" s="159"/>
      <c r="F988" s="159"/>
      <c r="G988" s="159"/>
      <c r="H988" s="159"/>
      <c r="I988" s="159"/>
      <c r="J988" s="159"/>
      <c r="K988" s="159"/>
      <c r="L988" s="159"/>
      <c r="M988" s="159"/>
    </row>
    <row r="989" spans="2:13">
      <c r="B989" s="399"/>
      <c r="C989" s="159"/>
      <c r="D989" s="159"/>
      <c r="E989" s="159"/>
      <c r="F989" s="159"/>
      <c r="G989" s="159"/>
      <c r="H989" s="159"/>
      <c r="I989" s="159"/>
      <c r="J989" s="159"/>
      <c r="K989" s="159"/>
      <c r="L989" s="159"/>
      <c r="M989" s="159"/>
    </row>
    <row r="990" spans="2:13">
      <c r="B990" s="399"/>
      <c r="C990" s="159"/>
      <c r="D990" s="159"/>
      <c r="E990" s="159"/>
      <c r="F990" s="159"/>
      <c r="G990" s="159"/>
      <c r="H990" s="159"/>
      <c r="I990" s="159"/>
      <c r="J990" s="159"/>
      <c r="K990" s="159"/>
      <c r="L990" s="159"/>
      <c r="M990" s="159"/>
    </row>
    <row r="991" spans="2:13">
      <c r="B991" s="399"/>
      <c r="C991" s="159"/>
      <c r="D991" s="159"/>
      <c r="E991" s="159"/>
      <c r="F991" s="159"/>
      <c r="G991" s="159"/>
      <c r="H991" s="159"/>
      <c r="I991" s="159"/>
      <c r="J991" s="159"/>
      <c r="K991" s="159"/>
      <c r="L991" s="159"/>
      <c r="M991" s="159"/>
    </row>
    <row r="992" spans="2:13">
      <c r="B992" s="399"/>
      <c r="C992" s="159"/>
      <c r="D992" s="159"/>
      <c r="E992" s="159"/>
      <c r="F992" s="159"/>
      <c r="G992" s="159"/>
      <c r="H992" s="159"/>
      <c r="I992" s="159"/>
      <c r="J992" s="159"/>
      <c r="K992" s="159"/>
      <c r="L992" s="159"/>
      <c r="M992" s="159"/>
    </row>
    <row r="993" spans="2:13">
      <c r="B993" s="399"/>
      <c r="C993" s="159"/>
      <c r="D993" s="159"/>
      <c r="E993" s="159"/>
      <c r="F993" s="159"/>
      <c r="G993" s="159"/>
      <c r="H993" s="159"/>
      <c r="I993" s="159"/>
      <c r="J993" s="159"/>
      <c r="K993" s="159"/>
      <c r="L993" s="159"/>
      <c r="M993" s="159"/>
    </row>
    <row r="994" spans="2:13">
      <c r="B994" s="399"/>
      <c r="C994" s="159"/>
      <c r="D994" s="159"/>
      <c r="E994" s="159"/>
      <c r="F994" s="159"/>
      <c r="G994" s="159"/>
      <c r="H994" s="159"/>
      <c r="I994" s="159"/>
      <c r="J994" s="159"/>
      <c r="K994" s="159"/>
      <c r="L994" s="159"/>
      <c r="M994" s="159"/>
    </row>
    <row r="995" spans="2:13">
      <c r="B995" s="399"/>
      <c r="C995" s="159"/>
      <c r="D995" s="159"/>
      <c r="E995" s="159"/>
      <c r="F995" s="159"/>
      <c r="G995" s="159"/>
      <c r="H995" s="159"/>
      <c r="I995" s="159"/>
      <c r="J995" s="159"/>
      <c r="K995" s="159"/>
      <c r="L995" s="159"/>
      <c r="M995" s="159"/>
    </row>
    <row r="996" spans="2:13">
      <c r="B996" s="399"/>
      <c r="C996" s="159"/>
      <c r="D996" s="159"/>
      <c r="E996" s="159"/>
      <c r="F996" s="159"/>
      <c r="G996" s="159"/>
      <c r="H996" s="159"/>
      <c r="I996" s="159"/>
      <c r="J996" s="159"/>
      <c r="K996" s="159"/>
      <c r="L996" s="159"/>
      <c r="M996" s="159"/>
    </row>
    <row r="997" spans="2:13">
      <c r="B997" s="399"/>
      <c r="C997" s="159"/>
      <c r="D997" s="159"/>
      <c r="E997" s="159"/>
      <c r="F997" s="159"/>
      <c r="G997" s="159"/>
      <c r="H997" s="159"/>
      <c r="I997" s="159"/>
      <c r="J997" s="159"/>
      <c r="K997" s="159"/>
      <c r="L997" s="159"/>
      <c r="M997" s="159"/>
    </row>
    <row r="998" spans="2:13">
      <c r="B998" s="399"/>
      <c r="C998" s="159"/>
      <c r="D998" s="159"/>
      <c r="E998" s="159"/>
      <c r="F998" s="159"/>
      <c r="G998" s="159"/>
      <c r="H998" s="159"/>
      <c r="I998" s="159"/>
      <c r="J998" s="159"/>
      <c r="K998" s="159"/>
      <c r="L998" s="159"/>
      <c r="M998" s="159"/>
    </row>
    <row r="999" spans="2:13">
      <c r="B999" s="399"/>
      <c r="C999" s="159"/>
      <c r="D999" s="159"/>
      <c r="E999" s="159"/>
      <c r="F999" s="159"/>
      <c r="G999" s="159"/>
      <c r="H999" s="159"/>
      <c r="I999" s="159"/>
      <c r="J999" s="159"/>
      <c r="K999" s="159"/>
      <c r="L999" s="159"/>
      <c r="M999" s="159"/>
    </row>
    <row r="1000" spans="2:13">
      <c r="B1000" s="399"/>
      <c r="C1000" s="159"/>
      <c r="D1000" s="159"/>
      <c r="E1000" s="159"/>
      <c r="F1000" s="159"/>
      <c r="G1000" s="159"/>
      <c r="H1000" s="159"/>
      <c r="I1000" s="159"/>
      <c r="J1000" s="159"/>
      <c r="K1000" s="159"/>
      <c r="L1000" s="159"/>
      <c r="M1000" s="159"/>
    </row>
    <row r="1001" spans="2:13">
      <c r="B1001" s="399"/>
      <c r="C1001" s="159"/>
      <c r="D1001" s="159"/>
      <c r="E1001" s="159"/>
      <c r="F1001" s="159"/>
      <c r="G1001" s="159"/>
      <c r="H1001" s="159"/>
      <c r="I1001" s="159"/>
      <c r="J1001" s="159"/>
      <c r="K1001" s="159"/>
      <c r="L1001" s="159"/>
      <c r="M1001" s="159"/>
    </row>
    <row r="1002" spans="2:13">
      <c r="B1002" s="399"/>
      <c r="C1002" s="159"/>
      <c r="D1002" s="159"/>
      <c r="E1002" s="159"/>
      <c r="F1002" s="159"/>
      <c r="G1002" s="159"/>
      <c r="H1002" s="159"/>
      <c r="I1002" s="159"/>
      <c r="J1002" s="159"/>
      <c r="K1002" s="159"/>
      <c r="L1002" s="159"/>
      <c r="M1002" s="159"/>
    </row>
    <row r="1003" spans="2:13">
      <c r="B1003" s="399"/>
      <c r="C1003" s="159"/>
      <c r="D1003" s="159"/>
      <c r="E1003" s="159"/>
      <c r="F1003" s="159"/>
      <c r="G1003" s="159"/>
      <c r="H1003" s="159"/>
      <c r="I1003" s="159"/>
      <c r="J1003" s="159"/>
      <c r="K1003" s="159"/>
      <c r="L1003" s="159"/>
      <c r="M1003" s="159"/>
    </row>
    <row r="1004" spans="2:13">
      <c r="B1004" s="399"/>
      <c r="C1004" s="159"/>
      <c r="D1004" s="159"/>
      <c r="E1004" s="159"/>
      <c r="F1004" s="159"/>
      <c r="G1004" s="159"/>
      <c r="H1004" s="159"/>
      <c r="I1004" s="159"/>
      <c r="J1004" s="159"/>
      <c r="K1004" s="159"/>
      <c r="L1004" s="159"/>
      <c r="M1004" s="159"/>
    </row>
    <row r="1005" spans="2:13">
      <c r="B1005" s="399"/>
      <c r="C1005" s="159"/>
      <c r="D1005" s="159"/>
      <c r="E1005" s="159"/>
      <c r="F1005" s="159"/>
      <c r="G1005" s="159"/>
      <c r="H1005" s="159"/>
      <c r="I1005" s="159"/>
      <c r="J1005" s="159"/>
      <c r="K1005" s="159"/>
      <c r="L1005" s="159"/>
      <c r="M1005" s="159"/>
    </row>
    <row r="1006" spans="2:13">
      <c r="B1006" s="399"/>
      <c r="C1006" s="159"/>
      <c r="D1006" s="159"/>
      <c r="E1006" s="159"/>
      <c r="F1006" s="159"/>
      <c r="G1006" s="159"/>
      <c r="H1006" s="159"/>
      <c r="I1006" s="159"/>
      <c r="J1006" s="159"/>
      <c r="K1006" s="159"/>
      <c r="L1006" s="159"/>
      <c r="M1006" s="159"/>
    </row>
    <row r="1007" spans="2:13">
      <c r="B1007" s="399"/>
      <c r="C1007" s="159"/>
      <c r="D1007" s="159"/>
      <c r="E1007" s="159"/>
      <c r="F1007" s="159"/>
      <c r="G1007" s="159"/>
      <c r="H1007" s="159"/>
      <c r="I1007" s="159"/>
      <c r="J1007" s="159"/>
      <c r="K1007" s="159"/>
      <c r="L1007" s="159"/>
      <c r="M1007" s="159"/>
    </row>
    <row r="1008" spans="2:13">
      <c r="B1008" s="399"/>
      <c r="C1008" s="159"/>
      <c r="D1008" s="159"/>
      <c r="E1008" s="159"/>
      <c r="F1008" s="159"/>
      <c r="G1008" s="159"/>
      <c r="H1008" s="159"/>
      <c r="I1008" s="159"/>
      <c r="J1008" s="159"/>
      <c r="K1008" s="159"/>
      <c r="L1008" s="159"/>
      <c r="M1008" s="159"/>
    </row>
    <row r="1009" spans="2:13">
      <c r="B1009" s="399"/>
      <c r="C1009" s="159"/>
      <c r="D1009" s="159"/>
      <c r="E1009" s="159"/>
      <c r="F1009" s="159"/>
      <c r="G1009" s="159"/>
      <c r="H1009" s="159"/>
      <c r="I1009" s="159"/>
      <c r="J1009" s="159"/>
      <c r="K1009" s="159"/>
      <c r="L1009" s="159"/>
      <c r="M1009" s="159"/>
    </row>
    <row r="1010" spans="2:13">
      <c r="B1010" s="399"/>
      <c r="C1010" s="159"/>
      <c r="D1010" s="159"/>
      <c r="E1010" s="159"/>
      <c r="F1010" s="159"/>
      <c r="G1010" s="159"/>
      <c r="H1010" s="159"/>
      <c r="I1010" s="159"/>
      <c r="J1010" s="159"/>
      <c r="K1010" s="159"/>
      <c r="L1010" s="159"/>
      <c r="M1010" s="159"/>
    </row>
    <row r="1011" spans="2:13">
      <c r="B1011" s="399"/>
      <c r="C1011" s="159"/>
      <c r="D1011" s="159"/>
      <c r="E1011" s="159"/>
      <c r="F1011" s="159"/>
      <c r="G1011" s="159"/>
      <c r="H1011" s="159"/>
      <c r="I1011" s="159"/>
      <c r="J1011" s="159"/>
      <c r="K1011" s="159"/>
      <c r="L1011" s="159"/>
      <c r="M1011" s="159"/>
    </row>
    <row r="1012" spans="2:13">
      <c r="B1012" s="399"/>
      <c r="C1012" s="159"/>
      <c r="D1012" s="159"/>
      <c r="E1012" s="159"/>
      <c r="F1012" s="159"/>
      <c r="G1012" s="159"/>
      <c r="H1012" s="159"/>
      <c r="I1012" s="159"/>
      <c r="J1012" s="159"/>
      <c r="K1012" s="159"/>
      <c r="L1012" s="159"/>
      <c r="M1012" s="159"/>
    </row>
    <row r="1013" spans="2:13">
      <c r="B1013" s="399"/>
      <c r="C1013" s="159"/>
      <c r="D1013" s="159"/>
      <c r="E1013" s="159"/>
      <c r="F1013" s="159"/>
      <c r="G1013" s="159"/>
      <c r="H1013" s="159"/>
      <c r="I1013" s="159"/>
      <c r="J1013" s="159"/>
      <c r="K1013" s="159"/>
      <c r="L1013" s="159"/>
      <c r="M1013" s="159"/>
    </row>
    <row r="1014" spans="2:13">
      <c r="B1014" s="399"/>
      <c r="C1014" s="159"/>
      <c r="D1014" s="159"/>
      <c r="E1014" s="159"/>
      <c r="F1014" s="159"/>
      <c r="G1014" s="159"/>
      <c r="H1014" s="159"/>
      <c r="I1014" s="159"/>
      <c r="J1014" s="159"/>
      <c r="K1014" s="159"/>
      <c r="L1014" s="159"/>
      <c r="M1014" s="159"/>
    </row>
    <row r="1015" spans="2:13">
      <c r="B1015" s="399"/>
      <c r="C1015" s="159"/>
      <c r="D1015" s="159"/>
      <c r="E1015" s="159"/>
      <c r="F1015" s="159"/>
      <c r="G1015" s="159"/>
      <c r="H1015" s="159"/>
      <c r="I1015" s="159"/>
      <c r="J1015" s="159"/>
      <c r="K1015" s="159"/>
      <c r="L1015" s="159"/>
      <c r="M1015" s="159"/>
    </row>
    <row r="1016" spans="2:13">
      <c r="B1016" s="399"/>
      <c r="C1016" s="159"/>
      <c r="D1016" s="159"/>
      <c r="E1016" s="159"/>
      <c r="F1016" s="159"/>
      <c r="G1016" s="159"/>
      <c r="H1016" s="159"/>
      <c r="I1016" s="159"/>
      <c r="J1016" s="159"/>
      <c r="K1016" s="159"/>
      <c r="L1016" s="159"/>
      <c r="M1016" s="159"/>
    </row>
    <row r="1017" spans="2:13">
      <c r="B1017" s="399"/>
      <c r="C1017" s="159"/>
      <c r="D1017" s="159"/>
      <c r="E1017" s="159"/>
      <c r="F1017" s="159"/>
      <c r="G1017" s="159"/>
      <c r="H1017" s="159"/>
      <c r="I1017" s="159"/>
      <c r="J1017" s="159"/>
      <c r="K1017" s="159"/>
      <c r="L1017" s="159"/>
      <c r="M1017" s="159"/>
    </row>
    <row r="1018" spans="2:13">
      <c r="B1018" s="399"/>
      <c r="C1018" s="159"/>
      <c r="D1018" s="159"/>
      <c r="E1018" s="159"/>
      <c r="F1018" s="159"/>
      <c r="G1018" s="159"/>
      <c r="H1018" s="159"/>
      <c r="I1018" s="159"/>
      <c r="J1018" s="159"/>
      <c r="K1018" s="159"/>
      <c r="L1018" s="159"/>
      <c r="M1018" s="159"/>
    </row>
    <row r="1019" spans="2:13">
      <c r="B1019" s="399"/>
      <c r="C1019" s="159"/>
      <c r="D1019" s="159"/>
      <c r="E1019" s="159"/>
      <c r="F1019" s="159"/>
      <c r="G1019" s="159"/>
      <c r="H1019" s="159"/>
      <c r="I1019" s="159"/>
      <c r="J1019" s="159"/>
      <c r="K1019" s="159"/>
      <c r="L1019" s="159"/>
      <c r="M1019" s="159"/>
    </row>
    <row r="1020" spans="2:13">
      <c r="B1020" s="399"/>
      <c r="C1020" s="159"/>
      <c r="D1020" s="159"/>
      <c r="E1020" s="159"/>
      <c r="F1020" s="159"/>
      <c r="G1020" s="159"/>
      <c r="H1020" s="159"/>
      <c r="I1020" s="159"/>
      <c r="J1020" s="159"/>
      <c r="K1020" s="159"/>
      <c r="L1020" s="159"/>
      <c r="M1020" s="159"/>
    </row>
    <row r="1021" spans="2:13">
      <c r="B1021" s="399"/>
      <c r="C1021" s="159"/>
      <c r="D1021" s="159"/>
      <c r="E1021" s="159"/>
      <c r="F1021" s="159"/>
      <c r="G1021" s="159"/>
      <c r="H1021" s="159"/>
      <c r="I1021" s="159"/>
      <c r="J1021" s="159"/>
      <c r="K1021" s="159"/>
      <c r="L1021" s="159"/>
      <c r="M1021" s="159"/>
    </row>
    <row r="1022" spans="2:13">
      <c r="B1022" s="399"/>
      <c r="C1022" s="159"/>
      <c r="D1022" s="159"/>
      <c r="E1022" s="159"/>
      <c r="F1022" s="159"/>
      <c r="G1022" s="159"/>
      <c r="H1022" s="159"/>
      <c r="I1022" s="159"/>
      <c r="J1022" s="159"/>
      <c r="K1022" s="159"/>
      <c r="L1022" s="159"/>
      <c r="M1022" s="159"/>
    </row>
    <row r="1023" spans="2:13">
      <c r="B1023" s="399"/>
      <c r="C1023" s="159"/>
      <c r="D1023" s="159"/>
      <c r="E1023" s="159"/>
      <c r="F1023" s="159"/>
      <c r="G1023" s="159"/>
      <c r="H1023" s="159"/>
      <c r="I1023" s="159"/>
      <c r="J1023" s="159"/>
      <c r="K1023" s="159"/>
      <c r="L1023" s="159"/>
      <c r="M1023" s="159"/>
    </row>
    <row r="1024" spans="2:13">
      <c r="B1024" s="399"/>
      <c r="C1024" s="159"/>
      <c r="D1024" s="159"/>
      <c r="E1024" s="159"/>
      <c r="F1024" s="159"/>
      <c r="G1024" s="159"/>
      <c r="H1024" s="159"/>
      <c r="I1024" s="159"/>
      <c r="J1024" s="159"/>
      <c r="K1024" s="159"/>
      <c r="L1024" s="159"/>
      <c r="M1024" s="159"/>
    </row>
    <row r="1025" spans="2:13">
      <c r="B1025" s="399"/>
      <c r="C1025" s="159"/>
      <c r="D1025" s="159"/>
      <c r="E1025" s="159"/>
      <c r="F1025" s="159"/>
      <c r="G1025" s="159"/>
      <c r="H1025" s="159"/>
      <c r="I1025" s="159"/>
      <c r="J1025" s="159"/>
      <c r="K1025" s="159"/>
      <c r="L1025" s="159"/>
      <c r="M1025" s="159"/>
    </row>
    <row r="1026" spans="2:13">
      <c r="B1026" s="399"/>
      <c r="C1026" s="159"/>
      <c r="D1026" s="159"/>
      <c r="E1026" s="159"/>
      <c r="F1026" s="159"/>
      <c r="G1026" s="159"/>
      <c r="H1026" s="159"/>
      <c r="I1026" s="159"/>
      <c r="J1026" s="159"/>
      <c r="K1026" s="159"/>
      <c r="L1026" s="159"/>
      <c r="M1026" s="159"/>
    </row>
    <row r="1027" spans="2:13">
      <c r="B1027" s="399"/>
      <c r="C1027" s="159"/>
      <c r="D1027" s="159"/>
      <c r="E1027" s="159"/>
      <c r="F1027" s="159"/>
      <c r="G1027" s="159"/>
      <c r="H1027" s="159"/>
      <c r="I1027" s="159"/>
      <c r="J1027" s="159"/>
      <c r="K1027" s="159"/>
      <c r="L1027" s="159"/>
      <c r="M1027" s="159"/>
    </row>
    <row r="1028" spans="2:13">
      <c r="B1028" s="399"/>
      <c r="C1028" s="159"/>
      <c r="D1028" s="159"/>
      <c r="E1028" s="159"/>
      <c r="F1028" s="159"/>
      <c r="G1028" s="159"/>
      <c r="H1028" s="159"/>
      <c r="I1028" s="159"/>
      <c r="J1028" s="159"/>
      <c r="K1028" s="159"/>
      <c r="L1028" s="159"/>
      <c r="M1028" s="159"/>
    </row>
    <row r="1029" spans="2:13">
      <c r="B1029" s="399"/>
      <c r="C1029" s="159"/>
      <c r="D1029" s="159"/>
      <c r="E1029" s="159"/>
      <c r="F1029" s="159"/>
      <c r="G1029" s="159"/>
      <c r="H1029" s="159"/>
      <c r="I1029" s="159"/>
      <c r="J1029" s="159"/>
      <c r="K1029" s="159"/>
      <c r="L1029" s="159"/>
      <c r="M1029" s="159"/>
    </row>
    <row r="1030" spans="2:13">
      <c r="B1030" s="399"/>
      <c r="C1030" s="159"/>
      <c r="D1030" s="159"/>
      <c r="E1030" s="159"/>
      <c r="F1030" s="159"/>
      <c r="G1030" s="159"/>
      <c r="H1030" s="159"/>
      <c r="I1030" s="159"/>
      <c r="J1030" s="159"/>
      <c r="K1030" s="159"/>
      <c r="L1030" s="159"/>
      <c r="M1030" s="159"/>
    </row>
    <row r="1031" spans="2:13">
      <c r="B1031" s="399"/>
      <c r="C1031" s="159"/>
      <c r="D1031" s="159"/>
      <c r="E1031" s="159"/>
      <c r="F1031" s="159"/>
      <c r="G1031" s="159"/>
      <c r="H1031" s="159"/>
      <c r="I1031" s="159"/>
      <c r="J1031" s="159"/>
      <c r="K1031" s="159"/>
      <c r="L1031" s="159"/>
      <c r="M1031" s="159"/>
    </row>
    <row r="1032" spans="2:13">
      <c r="B1032" s="399"/>
      <c r="C1032" s="159"/>
      <c r="D1032" s="159"/>
      <c r="E1032" s="159"/>
      <c r="F1032" s="159"/>
      <c r="G1032" s="159"/>
      <c r="H1032" s="159"/>
      <c r="I1032" s="159"/>
      <c r="J1032" s="159"/>
      <c r="K1032" s="159"/>
      <c r="L1032" s="159"/>
      <c r="M1032" s="159"/>
    </row>
    <row r="1033" spans="2:13">
      <c r="B1033" s="399"/>
      <c r="C1033" s="159"/>
      <c r="D1033" s="159"/>
      <c r="E1033" s="159"/>
      <c r="F1033" s="159"/>
      <c r="G1033" s="159"/>
      <c r="H1033" s="159"/>
      <c r="I1033" s="159"/>
      <c r="J1033" s="159"/>
      <c r="K1033" s="159"/>
      <c r="L1033" s="159"/>
      <c r="M1033" s="159"/>
    </row>
    <row r="1034" spans="2:13">
      <c r="B1034" s="399"/>
      <c r="C1034" s="159"/>
      <c r="D1034" s="159"/>
      <c r="E1034" s="159"/>
      <c r="F1034" s="159"/>
      <c r="G1034" s="159"/>
      <c r="H1034" s="159"/>
      <c r="I1034" s="159"/>
      <c r="J1034" s="159"/>
      <c r="K1034" s="159"/>
      <c r="L1034" s="159"/>
      <c r="M1034" s="159"/>
    </row>
    <row r="1035" spans="2:13">
      <c r="B1035" s="399"/>
      <c r="C1035" s="159"/>
      <c r="D1035" s="159"/>
      <c r="E1035" s="159"/>
      <c r="F1035" s="159"/>
      <c r="G1035" s="159"/>
      <c r="H1035" s="159"/>
      <c r="I1035" s="159"/>
      <c r="J1035" s="159"/>
      <c r="K1035" s="159"/>
      <c r="L1035" s="159"/>
      <c r="M1035" s="159"/>
    </row>
    <row r="1036" spans="2:13">
      <c r="B1036" s="399"/>
      <c r="C1036" s="159"/>
      <c r="D1036" s="159"/>
      <c r="E1036" s="159"/>
      <c r="F1036" s="159"/>
      <c r="G1036" s="159"/>
      <c r="H1036" s="159"/>
      <c r="I1036" s="159"/>
      <c r="J1036" s="159"/>
      <c r="K1036" s="159"/>
      <c r="L1036" s="159"/>
      <c r="M1036" s="159"/>
    </row>
    <row r="1037" spans="2:13">
      <c r="B1037" s="399"/>
      <c r="C1037" s="159"/>
      <c r="D1037" s="159"/>
      <c r="E1037" s="159"/>
      <c r="F1037" s="159"/>
      <c r="G1037" s="159"/>
      <c r="H1037" s="159"/>
      <c r="I1037" s="159"/>
      <c r="J1037" s="159"/>
      <c r="K1037" s="159"/>
      <c r="L1037" s="159"/>
      <c r="M1037" s="159"/>
    </row>
    <row r="1038" spans="2:13">
      <c r="B1038" s="399"/>
      <c r="C1038" s="159"/>
      <c r="D1038" s="159"/>
      <c r="E1038" s="159"/>
      <c r="F1038" s="159"/>
      <c r="G1038" s="159"/>
      <c r="H1038" s="159"/>
      <c r="I1038" s="159"/>
      <c r="J1038" s="159"/>
      <c r="K1038" s="159"/>
      <c r="L1038" s="159"/>
      <c r="M1038" s="159"/>
    </row>
    <row r="1039" spans="2:13">
      <c r="B1039" s="399"/>
      <c r="C1039" s="159"/>
      <c r="D1039" s="159"/>
      <c r="E1039" s="159"/>
      <c r="F1039" s="159"/>
      <c r="G1039" s="159"/>
      <c r="H1039" s="159"/>
      <c r="I1039" s="159"/>
      <c r="J1039" s="159"/>
      <c r="K1039" s="159"/>
      <c r="L1039" s="159"/>
      <c r="M1039" s="159"/>
    </row>
    <row r="1040" spans="2:13">
      <c r="B1040" s="399"/>
      <c r="C1040" s="159"/>
      <c r="D1040" s="159"/>
      <c r="E1040" s="159"/>
      <c r="F1040" s="159"/>
      <c r="G1040" s="159"/>
      <c r="H1040" s="159"/>
      <c r="I1040" s="159"/>
      <c r="J1040" s="159"/>
      <c r="K1040" s="159"/>
      <c r="L1040" s="159"/>
      <c r="M1040" s="159"/>
    </row>
    <row r="1041" spans="2:13">
      <c r="B1041" s="399"/>
      <c r="C1041" s="159"/>
      <c r="D1041" s="159"/>
      <c r="E1041" s="159"/>
      <c r="F1041" s="159"/>
      <c r="G1041" s="159"/>
      <c r="H1041" s="159"/>
      <c r="I1041" s="159"/>
      <c r="J1041" s="159"/>
      <c r="K1041" s="159"/>
      <c r="L1041" s="159"/>
      <c r="M1041" s="159"/>
    </row>
    <row r="1042" spans="2:13">
      <c r="B1042" s="399"/>
      <c r="C1042" s="159"/>
      <c r="D1042" s="159"/>
      <c r="E1042" s="159"/>
      <c r="F1042" s="159"/>
      <c r="G1042" s="159"/>
      <c r="H1042" s="159"/>
      <c r="I1042" s="159"/>
      <c r="J1042" s="159"/>
      <c r="K1042" s="159"/>
      <c r="L1042" s="159"/>
      <c r="M1042" s="159"/>
    </row>
    <row r="1043" spans="2:13">
      <c r="B1043" s="399"/>
      <c r="C1043" s="159"/>
      <c r="D1043" s="159"/>
      <c r="E1043" s="159"/>
      <c r="F1043" s="159"/>
      <c r="G1043" s="159"/>
      <c r="H1043" s="159"/>
      <c r="I1043" s="159"/>
      <c r="J1043" s="159"/>
      <c r="K1043" s="159"/>
      <c r="L1043" s="159"/>
      <c r="M1043" s="159"/>
    </row>
    <row r="1044" spans="2:13">
      <c r="B1044" s="399"/>
      <c r="C1044" s="159"/>
      <c r="D1044" s="159"/>
      <c r="E1044" s="159"/>
      <c r="F1044" s="159"/>
      <c r="G1044" s="159"/>
      <c r="H1044" s="159"/>
      <c r="I1044" s="159"/>
      <c r="J1044" s="159"/>
      <c r="K1044" s="159"/>
      <c r="L1044" s="159"/>
      <c r="M1044" s="159"/>
    </row>
    <row r="1045" spans="2:13">
      <c r="B1045" s="399"/>
      <c r="C1045" s="159"/>
      <c r="D1045" s="159"/>
      <c r="E1045" s="159"/>
      <c r="F1045" s="159"/>
      <c r="G1045" s="159"/>
      <c r="H1045" s="159"/>
      <c r="I1045" s="159"/>
      <c r="J1045" s="159"/>
      <c r="K1045" s="159"/>
      <c r="L1045" s="159"/>
      <c r="M1045" s="159"/>
    </row>
    <row r="1046" spans="2:13">
      <c r="B1046" s="399"/>
      <c r="C1046" s="159"/>
      <c r="D1046" s="159"/>
      <c r="E1046" s="159"/>
      <c r="F1046" s="159"/>
      <c r="G1046" s="159"/>
      <c r="H1046" s="159"/>
      <c r="I1046" s="159"/>
      <c r="J1046" s="159"/>
      <c r="K1046" s="159"/>
      <c r="L1046" s="159"/>
      <c r="M1046" s="159"/>
    </row>
    <row r="1047" spans="2:13">
      <c r="B1047" s="399"/>
      <c r="C1047" s="159"/>
      <c r="D1047" s="159"/>
      <c r="E1047" s="159"/>
      <c r="F1047" s="159"/>
      <c r="G1047" s="159"/>
      <c r="H1047" s="159"/>
      <c r="I1047" s="159"/>
      <c r="J1047" s="159"/>
      <c r="K1047" s="159"/>
      <c r="L1047" s="159"/>
      <c r="M1047" s="159"/>
    </row>
    <row r="1048" spans="2:13">
      <c r="B1048" s="399"/>
      <c r="C1048" s="159"/>
      <c r="D1048" s="159"/>
      <c r="E1048" s="159"/>
      <c r="F1048" s="159"/>
      <c r="G1048" s="159"/>
      <c r="H1048" s="159"/>
      <c r="I1048" s="159"/>
      <c r="J1048" s="159"/>
      <c r="K1048" s="159"/>
      <c r="L1048" s="159"/>
      <c r="M1048" s="159"/>
    </row>
    <row r="1049" spans="2:13">
      <c r="B1049" s="399"/>
      <c r="C1049" s="159"/>
      <c r="D1049" s="159"/>
      <c r="E1049" s="159"/>
      <c r="F1049" s="159"/>
      <c r="G1049" s="159"/>
      <c r="H1049" s="159"/>
      <c r="I1049" s="159"/>
      <c r="J1049" s="159"/>
      <c r="K1049" s="159"/>
      <c r="L1049" s="159"/>
      <c r="M1049" s="159"/>
    </row>
    <row r="1050" spans="2:13">
      <c r="B1050" s="399"/>
      <c r="C1050" s="159"/>
      <c r="D1050" s="159"/>
      <c r="E1050" s="159"/>
      <c r="F1050" s="159"/>
      <c r="G1050" s="159"/>
      <c r="H1050" s="159"/>
      <c r="I1050" s="159"/>
      <c r="J1050" s="159"/>
      <c r="K1050" s="159"/>
      <c r="L1050" s="159"/>
      <c r="M1050" s="159"/>
    </row>
    <row r="1051" spans="2:13">
      <c r="B1051" s="399"/>
      <c r="C1051" s="159"/>
      <c r="D1051" s="159"/>
      <c r="E1051" s="159"/>
      <c r="F1051" s="159"/>
      <c r="G1051" s="159"/>
      <c r="H1051" s="159"/>
      <c r="I1051" s="159"/>
      <c r="J1051" s="159"/>
      <c r="K1051" s="159"/>
      <c r="L1051" s="159"/>
      <c r="M1051" s="159"/>
    </row>
    <row r="1052" spans="2:13">
      <c r="B1052" s="399"/>
      <c r="C1052" s="159"/>
      <c r="D1052" s="159"/>
      <c r="E1052" s="159"/>
      <c r="F1052" s="159"/>
      <c r="G1052" s="159"/>
      <c r="H1052" s="159"/>
      <c r="I1052" s="159"/>
      <c r="J1052" s="159"/>
      <c r="K1052" s="159"/>
      <c r="L1052" s="159"/>
      <c r="M1052" s="159"/>
    </row>
    <row r="1053" spans="2:13">
      <c r="B1053" s="399"/>
      <c r="C1053" s="159"/>
      <c r="D1053" s="159"/>
      <c r="E1053" s="159"/>
      <c r="F1053" s="159"/>
      <c r="G1053" s="159"/>
      <c r="H1053" s="159"/>
      <c r="I1053" s="159"/>
      <c r="J1053" s="159"/>
      <c r="K1053" s="159"/>
      <c r="L1053" s="159"/>
      <c r="M1053" s="159"/>
    </row>
    <row r="1054" spans="2:13">
      <c r="B1054" s="399"/>
      <c r="C1054" s="159"/>
      <c r="D1054" s="159"/>
      <c r="E1054" s="159"/>
      <c r="F1054" s="159"/>
      <c r="G1054" s="159"/>
      <c r="H1054" s="159"/>
      <c r="I1054" s="159"/>
      <c r="J1054" s="159"/>
      <c r="K1054" s="159"/>
      <c r="L1054" s="159"/>
      <c r="M1054" s="159"/>
    </row>
    <row r="1055" spans="2:13">
      <c r="B1055" s="399"/>
      <c r="C1055" s="159"/>
      <c r="D1055" s="159"/>
      <c r="E1055" s="159"/>
      <c r="F1055" s="159"/>
      <c r="G1055" s="159"/>
      <c r="H1055" s="159"/>
      <c r="I1055" s="159"/>
      <c r="J1055" s="159"/>
      <c r="K1055" s="159"/>
      <c r="L1055" s="159"/>
      <c r="M1055" s="159"/>
    </row>
    <row r="1056" spans="2:13">
      <c r="B1056" s="399"/>
      <c r="C1056" s="159"/>
      <c r="D1056" s="159"/>
      <c r="E1056" s="159"/>
      <c r="F1056" s="159"/>
      <c r="G1056" s="159"/>
      <c r="H1056" s="159"/>
      <c r="I1056" s="159"/>
      <c r="J1056" s="159"/>
      <c r="K1056" s="159"/>
      <c r="L1056" s="159"/>
      <c r="M1056" s="159"/>
    </row>
    <row r="1057" spans="2:13">
      <c r="B1057" s="399"/>
      <c r="C1057" s="159"/>
      <c r="D1057" s="159"/>
      <c r="E1057" s="159"/>
      <c r="F1057" s="159"/>
      <c r="G1057" s="159"/>
      <c r="H1057" s="159"/>
      <c r="I1057" s="159"/>
      <c r="J1057" s="159"/>
      <c r="K1057" s="159"/>
      <c r="L1057" s="159"/>
      <c r="M1057" s="159"/>
    </row>
    <row r="1058" spans="2:13">
      <c r="B1058" s="399"/>
      <c r="C1058" s="159"/>
      <c r="D1058" s="159"/>
      <c r="E1058" s="159"/>
      <c r="F1058" s="159"/>
      <c r="G1058" s="159"/>
      <c r="H1058" s="159"/>
      <c r="I1058" s="159"/>
      <c r="J1058" s="159"/>
      <c r="K1058" s="159"/>
      <c r="L1058" s="159"/>
      <c r="M1058" s="159"/>
    </row>
    <row r="1059" spans="2:13">
      <c r="B1059" s="399"/>
      <c r="C1059" s="159"/>
      <c r="D1059" s="159"/>
      <c r="E1059" s="159"/>
      <c r="F1059" s="159"/>
      <c r="G1059" s="159"/>
      <c r="H1059" s="159"/>
      <c r="I1059" s="159"/>
      <c r="J1059" s="159"/>
      <c r="K1059" s="159"/>
      <c r="L1059" s="159"/>
      <c r="M1059" s="159"/>
    </row>
    <row r="1060" spans="2:13">
      <c r="B1060" s="399"/>
      <c r="C1060" s="159"/>
      <c r="D1060" s="159"/>
      <c r="E1060" s="159"/>
      <c r="F1060" s="159"/>
      <c r="G1060" s="159"/>
      <c r="H1060" s="159"/>
      <c r="I1060" s="159"/>
      <c r="J1060" s="159"/>
      <c r="K1060" s="159"/>
      <c r="L1060" s="159"/>
      <c r="M1060" s="159"/>
    </row>
    <row r="1061" spans="2:13">
      <c r="B1061" s="399"/>
      <c r="C1061" s="159"/>
      <c r="D1061" s="159"/>
      <c r="E1061" s="159"/>
      <c r="F1061" s="159"/>
      <c r="G1061" s="159"/>
      <c r="H1061" s="159"/>
      <c r="I1061" s="159"/>
      <c r="J1061" s="159"/>
      <c r="K1061" s="159"/>
      <c r="L1061" s="159"/>
      <c r="M1061" s="159"/>
    </row>
    <row r="1062" spans="2:13">
      <c r="B1062" s="399"/>
      <c r="C1062" s="159"/>
      <c r="D1062" s="159"/>
      <c r="E1062" s="159"/>
      <c r="F1062" s="159"/>
      <c r="G1062" s="159"/>
      <c r="H1062" s="159"/>
      <c r="I1062" s="159"/>
      <c r="J1062" s="159"/>
      <c r="K1062" s="159"/>
      <c r="L1062" s="159"/>
      <c r="M1062" s="159"/>
    </row>
    <row r="1063" spans="2:13">
      <c r="B1063" s="399"/>
      <c r="C1063" s="159"/>
      <c r="D1063" s="159"/>
      <c r="E1063" s="159"/>
      <c r="F1063" s="159"/>
      <c r="G1063" s="159"/>
      <c r="H1063" s="159"/>
      <c r="I1063" s="159"/>
      <c r="J1063" s="159"/>
      <c r="K1063" s="159"/>
      <c r="L1063" s="159"/>
      <c r="M1063" s="159"/>
    </row>
    <row r="1064" spans="2:13">
      <c r="B1064" s="399"/>
      <c r="C1064" s="159"/>
      <c r="D1064" s="159"/>
      <c r="E1064" s="159"/>
      <c r="F1064" s="159"/>
      <c r="G1064" s="159"/>
      <c r="H1064" s="159"/>
      <c r="I1064" s="159"/>
      <c r="J1064" s="159"/>
      <c r="K1064" s="159"/>
      <c r="L1064" s="159"/>
      <c r="M1064" s="159"/>
    </row>
    <row r="1065" spans="2:13">
      <c r="B1065" s="399"/>
      <c r="C1065" s="159"/>
      <c r="D1065" s="159"/>
      <c r="E1065" s="159"/>
      <c r="F1065" s="159"/>
      <c r="G1065" s="159"/>
      <c r="H1065" s="159"/>
      <c r="I1065" s="159"/>
      <c r="J1065" s="159"/>
      <c r="K1065" s="159"/>
      <c r="L1065" s="159"/>
      <c r="M1065" s="159"/>
    </row>
    <row r="1066" spans="2:13">
      <c r="B1066" s="399"/>
      <c r="C1066" s="159"/>
      <c r="D1066" s="159"/>
      <c r="E1066" s="159"/>
      <c r="F1066" s="159"/>
      <c r="G1066" s="159"/>
      <c r="H1066" s="159"/>
      <c r="I1066" s="159"/>
      <c r="J1066" s="159"/>
      <c r="K1066" s="159"/>
      <c r="L1066" s="159"/>
      <c r="M1066" s="159"/>
    </row>
    <row r="1067" spans="2:13">
      <c r="B1067" s="399"/>
      <c r="C1067" s="159"/>
      <c r="D1067" s="159"/>
      <c r="E1067" s="159"/>
      <c r="F1067" s="159"/>
      <c r="G1067" s="159"/>
      <c r="H1067" s="159"/>
      <c r="I1067" s="159"/>
      <c r="J1067" s="159"/>
      <c r="K1067" s="159"/>
      <c r="L1067" s="159"/>
      <c r="M1067" s="159"/>
    </row>
    <row r="1068" spans="2:13">
      <c r="B1068" s="399"/>
      <c r="C1068" s="159"/>
      <c r="D1068" s="159"/>
      <c r="E1068" s="159"/>
      <c r="F1068" s="159"/>
      <c r="G1068" s="159"/>
      <c r="H1068" s="159"/>
      <c r="I1068" s="159"/>
      <c r="J1068" s="159"/>
      <c r="K1068" s="159"/>
      <c r="L1068" s="159"/>
      <c r="M1068" s="159"/>
    </row>
    <row r="1069" spans="2:13">
      <c r="B1069" s="399"/>
      <c r="C1069" s="159"/>
      <c r="D1069" s="159"/>
      <c r="E1069" s="159"/>
      <c r="F1069" s="159"/>
      <c r="G1069" s="159"/>
      <c r="H1069" s="159"/>
      <c r="I1069" s="159"/>
      <c r="J1069" s="159"/>
      <c r="K1069" s="159"/>
      <c r="L1069" s="159"/>
      <c r="M1069" s="159"/>
    </row>
    <row r="1070" spans="2:13">
      <c r="B1070" s="399"/>
      <c r="C1070" s="159"/>
      <c r="D1070" s="159"/>
      <c r="E1070" s="159"/>
      <c r="F1070" s="159"/>
      <c r="G1070" s="159"/>
      <c r="H1070" s="159"/>
      <c r="I1070" s="159"/>
      <c r="J1070" s="159"/>
      <c r="K1070" s="159"/>
      <c r="L1070" s="159"/>
      <c r="M1070" s="159"/>
    </row>
    <row r="1071" spans="2:13">
      <c r="B1071" s="399"/>
      <c r="C1071" s="159"/>
      <c r="D1071" s="159"/>
      <c r="E1071" s="159"/>
      <c r="F1071" s="159"/>
      <c r="G1071" s="159"/>
      <c r="H1071" s="159"/>
      <c r="I1071" s="159"/>
      <c r="J1071" s="159"/>
      <c r="K1071" s="159"/>
      <c r="L1071" s="159"/>
      <c r="M1071" s="159"/>
    </row>
    <row r="1072" spans="2:13">
      <c r="B1072" s="399"/>
      <c r="C1072" s="159"/>
      <c r="D1072" s="159"/>
      <c r="E1072" s="159"/>
      <c r="F1072" s="159"/>
      <c r="G1072" s="159"/>
      <c r="H1072" s="159"/>
      <c r="I1072" s="159"/>
      <c r="J1072" s="159"/>
      <c r="K1072" s="159"/>
      <c r="L1072" s="159"/>
      <c r="M1072" s="159"/>
    </row>
    <row r="1073" spans="2:13">
      <c r="B1073" s="399"/>
      <c r="C1073" s="159"/>
      <c r="D1073" s="159"/>
      <c r="E1073" s="159"/>
      <c r="F1073" s="159"/>
      <c r="G1073" s="159"/>
      <c r="H1073" s="159"/>
      <c r="I1073" s="159"/>
      <c r="J1073" s="159"/>
      <c r="K1073" s="159"/>
      <c r="L1073" s="159"/>
      <c r="M1073" s="159"/>
    </row>
    <row r="1074" spans="2:13">
      <c r="B1074" s="399"/>
      <c r="C1074" s="159"/>
      <c r="D1074" s="159"/>
      <c r="E1074" s="159"/>
      <c r="F1074" s="159"/>
      <c r="G1074" s="159"/>
      <c r="H1074" s="159"/>
      <c r="I1074" s="159"/>
      <c r="J1074" s="159"/>
      <c r="K1074" s="159"/>
      <c r="L1074" s="159"/>
      <c r="M1074" s="159"/>
    </row>
    <row r="1075" spans="2:13">
      <c r="B1075" s="399"/>
      <c r="C1075" s="159"/>
      <c r="D1075" s="159"/>
      <c r="E1075" s="159"/>
      <c r="F1075" s="159"/>
      <c r="G1075" s="159"/>
      <c r="H1075" s="159"/>
      <c r="I1075" s="159"/>
      <c r="J1075" s="159"/>
      <c r="K1075" s="159"/>
      <c r="L1075" s="159"/>
      <c r="M1075" s="159"/>
    </row>
    <row r="1076" spans="2:13">
      <c r="B1076" s="399"/>
      <c r="C1076" s="159"/>
      <c r="D1076" s="159"/>
      <c r="E1076" s="159"/>
      <c r="F1076" s="159"/>
      <c r="G1076" s="159"/>
      <c r="H1076" s="159"/>
      <c r="I1076" s="159"/>
      <c r="J1076" s="159"/>
      <c r="K1076" s="159"/>
      <c r="L1076" s="159"/>
      <c r="M1076" s="159"/>
    </row>
    <row r="1077" spans="2:13">
      <c r="B1077" s="399"/>
      <c r="C1077" s="159"/>
      <c r="D1077" s="159"/>
      <c r="E1077" s="159"/>
      <c r="F1077" s="159"/>
      <c r="G1077" s="159"/>
      <c r="H1077" s="159"/>
      <c r="I1077" s="159"/>
      <c r="J1077" s="159"/>
      <c r="K1077" s="159"/>
      <c r="L1077" s="159"/>
      <c r="M1077" s="159"/>
    </row>
    <row r="1078" spans="2:13">
      <c r="B1078" s="399"/>
      <c r="C1078" s="159"/>
      <c r="D1078" s="159"/>
      <c r="E1078" s="159"/>
      <c r="F1078" s="159"/>
      <c r="G1078" s="159"/>
      <c r="H1078" s="159"/>
      <c r="I1078" s="159"/>
      <c r="J1078" s="159"/>
      <c r="K1078" s="159"/>
      <c r="L1078" s="159"/>
      <c r="M1078" s="159"/>
    </row>
    <row r="1079" spans="2:13">
      <c r="B1079" s="399"/>
      <c r="C1079" s="159"/>
      <c r="D1079" s="159"/>
      <c r="E1079" s="159"/>
      <c r="F1079" s="159"/>
      <c r="G1079" s="159"/>
      <c r="H1079" s="159"/>
      <c r="I1079" s="159"/>
      <c r="J1079" s="159"/>
      <c r="K1079" s="159"/>
      <c r="L1079" s="159"/>
      <c r="M1079" s="159"/>
    </row>
    <row r="1080" spans="2:13">
      <c r="B1080" s="399"/>
      <c r="C1080" s="159"/>
      <c r="D1080" s="159"/>
      <c r="E1080" s="159"/>
      <c r="F1080" s="159"/>
      <c r="G1080" s="159"/>
      <c r="H1080" s="159"/>
      <c r="I1080" s="159"/>
      <c r="J1080" s="159"/>
      <c r="K1080" s="159"/>
      <c r="L1080" s="159"/>
      <c r="M1080" s="159"/>
    </row>
    <row r="1081" spans="2:13">
      <c r="B1081" s="399"/>
      <c r="C1081" s="159"/>
      <c r="D1081" s="159"/>
      <c r="E1081" s="159"/>
      <c r="F1081" s="159"/>
      <c r="G1081" s="159"/>
      <c r="H1081" s="159"/>
      <c r="I1081" s="159"/>
      <c r="J1081" s="159"/>
      <c r="K1081" s="159"/>
      <c r="L1081" s="159"/>
      <c r="M1081" s="159"/>
    </row>
    <row r="1082" spans="2:13">
      <c r="B1082" s="399"/>
      <c r="C1082" s="159"/>
      <c r="D1082" s="159"/>
      <c r="E1082" s="159"/>
      <c r="F1082" s="159"/>
      <c r="G1082" s="159"/>
      <c r="H1082" s="159"/>
      <c r="I1082" s="159"/>
      <c r="J1082" s="159"/>
      <c r="K1082" s="159"/>
      <c r="L1082" s="159"/>
      <c r="M1082" s="159"/>
    </row>
    <row r="1083" spans="2:13">
      <c r="B1083" s="399"/>
      <c r="C1083" s="159"/>
      <c r="D1083" s="159"/>
      <c r="E1083" s="159"/>
      <c r="F1083" s="159"/>
      <c r="G1083" s="159"/>
      <c r="H1083" s="159"/>
      <c r="I1083" s="159"/>
      <c r="J1083" s="159"/>
      <c r="K1083" s="159"/>
      <c r="L1083" s="159"/>
      <c r="M1083" s="159"/>
    </row>
    <row r="1084" spans="2:13">
      <c r="B1084" s="399"/>
      <c r="C1084" s="159"/>
      <c r="D1084" s="159"/>
      <c r="E1084" s="159"/>
      <c r="F1084" s="159"/>
      <c r="G1084" s="159"/>
      <c r="H1084" s="159"/>
      <c r="I1084" s="159"/>
      <c r="J1084" s="159"/>
      <c r="K1084" s="159"/>
      <c r="L1084" s="159"/>
      <c r="M1084" s="159"/>
    </row>
    <row r="1085" spans="2:13">
      <c r="B1085" s="399"/>
      <c r="C1085" s="159"/>
      <c r="D1085" s="159"/>
      <c r="E1085" s="159"/>
      <c r="F1085" s="159"/>
      <c r="G1085" s="159"/>
      <c r="H1085" s="159"/>
      <c r="I1085" s="159"/>
      <c r="J1085" s="159"/>
      <c r="K1085" s="159"/>
      <c r="L1085" s="159"/>
      <c r="M1085" s="159"/>
    </row>
    <row r="1086" spans="2:13">
      <c r="B1086" s="399"/>
      <c r="C1086" s="159"/>
      <c r="D1086" s="159"/>
      <c r="E1086" s="159"/>
      <c r="F1086" s="159"/>
      <c r="G1086" s="159"/>
      <c r="H1086" s="159"/>
      <c r="I1086" s="159"/>
      <c r="J1086" s="159"/>
      <c r="K1086" s="159"/>
      <c r="L1086" s="159"/>
      <c r="M1086" s="159"/>
    </row>
    <row r="1087" spans="2:13">
      <c r="B1087" s="399"/>
      <c r="C1087" s="159"/>
      <c r="D1087" s="159"/>
      <c r="E1087" s="159"/>
      <c r="F1087" s="159"/>
      <c r="G1087" s="159"/>
      <c r="H1087" s="159"/>
      <c r="I1087" s="159"/>
      <c r="J1087" s="159"/>
      <c r="K1087" s="159"/>
      <c r="L1087" s="159"/>
      <c r="M1087" s="159"/>
    </row>
    <row r="1088" spans="2:13">
      <c r="B1088" s="399"/>
      <c r="C1088" s="159"/>
      <c r="D1088" s="159"/>
      <c r="E1088" s="159"/>
      <c r="F1088" s="159"/>
      <c r="G1088" s="159"/>
      <c r="H1088" s="159"/>
      <c r="I1088" s="159"/>
      <c r="J1088" s="159"/>
      <c r="K1088" s="159"/>
      <c r="L1088" s="159"/>
      <c r="M1088" s="159"/>
    </row>
    <row r="1089" spans="2:13">
      <c r="B1089" s="399"/>
      <c r="C1089" s="159"/>
      <c r="D1089" s="159"/>
      <c r="E1089" s="159"/>
      <c r="F1089" s="159"/>
      <c r="G1089" s="159"/>
      <c r="H1089" s="159"/>
      <c r="I1089" s="159"/>
      <c r="J1089" s="159"/>
      <c r="K1089" s="159"/>
      <c r="L1089" s="159"/>
      <c r="M1089" s="159"/>
    </row>
    <row r="1090" spans="2:13">
      <c r="B1090" s="399"/>
      <c r="C1090" s="159"/>
      <c r="D1090" s="159"/>
      <c r="E1090" s="159"/>
      <c r="F1090" s="159"/>
      <c r="G1090" s="159"/>
      <c r="H1090" s="159"/>
      <c r="I1090" s="159"/>
      <c r="J1090" s="159"/>
      <c r="K1090" s="159"/>
      <c r="L1090" s="159"/>
      <c r="M1090" s="159"/>
    </row>
    <row r="1091" spans="2:13">
      <c r="B1091" s="399"/>
      <c r="C1091" s="159"/>
      <c r="D1091" s="159"/>
      <c r="E1091" s="159"/>
      <c r="F1091" s="159"/>
      <c r="G1091" s="159"/>
      <c r="H1091" s="159"/>
      <c r="I1091" s="159"/>
      <c r="J1091" s="159"/>
      <c r="K1091" s="159"/>
      <c r="L1091" s="159"/>
      <c r="M1091" s="159"/>
    </row>
    <row r="1092" spans="2:13">
      <c r="B1092" s="399"/>
      <c r="C1092" s="159"/>
      <c r="D1092" s="159"/>
      <c r="E1092" s="159"/>
      <c r="F1092" s="159"/>
      <c r="G1092" s="159"/>
      <c r="H1092" s="159"/>
      <c r="I1092" s="159"/>
      <c r="J1092" s="159"/>
      <c r="K1092" s="159"/>
      <c r="L1092" s="159"/>
      <c r="M1092" s="159"/>
    </row>
    <row r="1093" spans="2:13">
      <c r="B1093" s="399"/>
      <c r="C1093" s="159"/>
      <c r="D1093" s="159"/>
      <c r="E1093" s="159"/>
      <c r="F1093" s="159"/>
      <c r="G1093" s="159"/>
      <c r="H1093" s="159"/>
      <c r="I1093" s="159"/>
      <c r="J1093" s="159"/>
      <c r="K1093" s="159"/>
      <c r="L1093" s="159"/>
      <c r="M1093" s="159"/>
    </row>
    <row r="1094" spans="2:13">
      <c r="B1094" s="399"/>
      <c r="C1094" s="159"/>
      <c r="D1094" s="159"/>
      <c r="E1094" s="159"/>
      <c r="F1094" s="159"/>
      <c r="G1094" s="159"/>
      <c r="H1094" s="159"/>
      <c r="I1094" s="159"/>
      <c r="J1094" s="159"/>
      <c r="K1094" s="159"/>
      <c r="L1094" s="159"/>
      <c r="M1094" s="159"/>
    </row>
    <row r="1095" spans="2:13">
      <c r="B1095" s="399"/>
      <c r="C1095" s="159"/>
      <c r="D1095" s="159"/>
      <c r="E1095" s="159"/>
      <c r="F1095" s="159"/>
      <c r="G1095" s="159"/>
      <c r="H1095" s="159"/>
      <c r="I1095" s="159"/>
      <c r="J1095" s="159"/>
      <c r="K1095" s="159"/>
      <c r="L1095" s="159"/>
      <c r="M1095" s="159"/>
    </row>
    <row r="1096" spans="2:13">
      <c r="B1096" s="399"/>
      <c r="C1096" s="159"/>
      <c r="D1096" s="159"/>
      <c r="E1096" s="159"/>
      <c r="F1096" s="159"/>
      <c r="G1096" s="159"/>
      <c r="H1096" s="159"/>
      <c r="I1096" s="159"/>
      <c r="J1096" s="159"/>
      <c r="K1096" s="159"/>
      <c r="L1096" s="159"/>
      <c r="M1096" s="159"/>
    </row>
    <row r="1097" spans="2:13">
      <c r="B1097" s="399"/>
      <c r="C1097" s="159"/>
      <c r="D1097" s="159"/>
      <c r="E1097" s="159"/>
      <c r="F1097" s="159"/>
      <c r="G1097" s="159"/>
      <c r="H1097" s="159"/>
      <c r="I1097" s="159"/>
      <c r="J1097" s="159"/>
      <c r="K1097" s="159"/>
      <c r="L1097" s="159"/>
      <c r="M1097" s="159"/>
    </row>
    <row r="1098" spans="2:13">
      <c r="B1098" s="399"/>
      <c r="C1098" s="159"/>
      <c r="D1098" s="159"/>
      <c r="E1098" s="159"/>
      <c r="F1098" s="159"/>
      <c r="G1098" s="159"/>
      <c r="H1098" s="159"/>
      <c r="I1098" s="159"/>
      <c r="J1098" s="159"/>
      <c r="K1098" s="159"/>
      <c r="L1098" s="159"/>
      <c r="M1098" s="159"/>
    </row>
    <row r="1099" spans="2:13">
      <c r="B1099" s="399"/>
      <c r="C1099" s="159"/>
      <c r="D1099" s="159"/>
      <c r="E1099" s="159"/>
      <c r="F1099" s="159"/>
      <c r="G1099" s="159"/>
      <c r="H1099" s="159"/>
      <c r="I1099" s="159"/>
      <c r="J1099" s="159"/>
      <c r="K1099" s="159"/>
      <c r="L1099" s="159"/>
      <c r="M1099" s="159"/>
    </row>
    <row r="1100" spans="2:13">
      <c r="B1100" s="399"/>
      <c r="C1100" s="159"/>
      <c r="D1100" s="159"/>
      <c r="E1100" s="159"/>
      <c r="F1100" s="159"/>
      <c r="G1100" s="159"/>
      <c r="H1100" s="159"/>
      <c r="I1100" s="159"/>
      <c r="J1100" s="159"/>
      <c r="K1100" s="159"/>
      <c r="L1100" s="159"/>
      <c r="M1100" s="159"/>
    </row>
    <row r="1101" spans="2:13">
      <c r="B1101" s="399"/>
      <c r="C1101" s="159"/>
      <c r="D1101" s="159"/>
      <c r="E1101" s="159"/>
      <c r="F1101" s="159"/>
      <c r="G1101" s="159"/>
      <c r="H1101" s="159"/>
      <c r="I1101" s="159"/>
      <c r="J1101" s="159"/>
      <c r="K1101" s="159"/>
      <c r="L1101" s="159"/>
      <c r="M1101" s="159"/>
    </row>
    <row r="1102" spans="2:13">
      <c r="B1102" s="399"/>
      <c r="C1102" s="159"/>
      <c r="D1102" s="159"/>
      <c r="E1102" s="159"/>
      <c r="F1102" s="159"/>
      <c r="G1102" s="159"/>
      <c r="H1102" s="159"/>
      <c r="I1102" s="159"/>
      <c r="J1102" s="159"/>
      <c r="K1102" s="159"/>
      <c r="L1102" s="159"/>
      <c r="M1102" s="159"/>
    </row>
    <row r="1103" spans="2:13">
      <c r="B1103" s="399"/>
      <c r="C1103" s="159"/>
      <c r="D1103" s="159"/>
      <c r="E1103" s="159"/>
      <c r="F1103" s="159"/>
      <c r="G1103" s="159"/>
      <c r="H1103" s="159"/>
      <c r="I1103" s="159"/>
      <c r="J1103" s="159"/>
      <c r="K1103" s="159"/>
      <c r="L1103" s="159"/>
      <c r="M1103" s="159"/>
    </row>
    <row r="1104" spans="2:13">
      <c r="B1104" s="399"/>
      <c r="C1104" s="159"/>
      <c r="D1104" s="159"/>
      <c r="E1104" s="159"/>
      <c r="F1104" s="159"/>
      <c r="G1104" s="159"/>
      <c r="H1104" s="159"/>
      <c r="I1104" s="159"/>
      <c r="J1104" s="159"/>
      <c r="K1104" s="159"/>
      <c r="L1104" s="159"/>
      <c r="M1104" s="159"/>
    </row>
    <row r="1105" spans="2:13">
      <c r="B1105" s="399"/>
      <c r="C1105" s="159"/>
      <c r="D1105" s="159"/>
      <c r="E1105" s="159"/>
      <c r="F1105" s="159"/>
      <c r="G1105" s="159"/>
      <c r="H1105" s="159"/>
      <c r="I1105" s="159"/>
      <c r="J1105" s="159"/>
      <c r="K1105" s="159"/>
      <c r="L1105" s="159"/>
      <c r="M1105" s="159"/>
    </row>
    <row r="1106" spans="2:13">
      <c r="B1106" s="399"/>
      <c r="C1106" s="159"/>
      <c r="D1106" s="159"/>
      <c r="E1106" s="159"/>
      <c r="F1106" s="159"/>
      <c r="G1106" s="159"/>
      <c r="H1106" s="159"/>
      <c r="I1106" s="159"/>
      <c r="J1106" s="159"/>
      <c r="K1106" s="159"/>
      <c r="L1106" s="159"/>
      <c r="M1106" s="159"/>
    </row>
    <row r="1107" spans="2:13">
      <c r="B1107" s="399"/>
      <c r="C1107" s="159"/>
      <c r="D1107" s="159"/>
      <c r="E1107" s="159"/>
      <c r="F1107" s="159"/>
      <c r="G1107" s="159"/>
      <c r="H1107" s="159"/>
      <c r="I1107" s="159"/>
      <c r="J1107" s="159"/>
      <c r="K1107" s="159"/>
      <c r="L1107" s="159"/>
      <c r="M1107" s="159"/>
    </row>
    <row r="1108" spans="2:13">
      <c r="B1108" s="399"/>
      <c r="C1108" s="159"/>
      <c r="D1108" s="159"/>
      <c r="E1108" s="159"/>
      <c r="F1108" s="159"/>
      <c r="G1108" s="159"/>
      <c r="H1108" s="159"/>
      <c r="I1108" s="159"/>
      <c r="J1108" s="159"/>
      <c r="K1108" s="159"/>
      <c r="L1108" s="159"/>
      <c r="M1108" s="159"/>
    </row>
    <row r="1109" spans="2:13">
      <c r="B1109" s="399"/>
      <c r="C1109" s="159"/>
      <c r="D1109" s="159"/>
      <c r="E1109" s="159"/>
      <c r="F1109" s="159"/>
      <c r="G1109" s="159"/>
      <c r="H1109" s="159"/>
      <c r="I1109" s="159"/>
      <c r="J1109" s="159"/>
      <c r="K1109" s="159"/>
      <c r="L1109" s="159"/>
      <c r="M1109" s="159"/>
    </row>
    <row r="1110" spans="2:13">
      <c r="B1110" s="399"/>
      <c r="C1110" s="159"/>
      <c r="D1110" s="159"/>
      <c r="E1110" s="159"/>
      <c r="F1110" s="159"/>
      <c r="G1110" s="159"/>
      <c r="H1110" s="159"/>
      <c r="I1110" s="159"/>
      <c r="J1110" s="159"/>
      <c r="K1110" s="159"/>
      <c r="L1110" s="159"/>
      <c r="M1110" s="159"/>
    </row>
    <row r="1111" spans="2:13">
      <c r="B1111" s="399"/>
      <c r="C1111" s="159"/>
      <c r="D1111" s="159"/>
      <c r="E1111" s="159"/>
      <c r="F1111" s="159"/>
      <c r="G1111" s="159"/>
      <c r="H1111" s="159"/>
      <c r="I1111" s="159"/>
      <c r="J1111" s="159"/>
      <c r="K1111" s="159"/>
      <c r="L1111" s="159"/>
      <c r="M1111" s="159"/>
    </row>
    <row r="1112" spans="2:13">
      <c r="B1112" s="399"/>
      <c r="C1112" s="159"/>
      <c r="D1112" s="159"/>
      <c r="E1112" s="159"/>
      <c r="F1112" s="159"/>
      <c r="G1112" s="159"/>
      <c r="H1112" s="159"/>
      <c r="I1112" s="159"/>
      <c r="J1112" s="159"/>
      <c r="K1112" s="159"/>
      <c r="L1112" s="159"/>
      <c r="M1112" s="159"/>
    </row>
    <row r="1113" spans="2:13">
      <c r="B1113" s="399"/>
      <c r="C1113" s="159"/>
      <c r="D1113" s="159"/>
      <c r="E1113" s="159"/>
      <c r="F1113" s="159"/>
      <c r="G1113" s="159"/>
      <c r="H1113" s="159"/>
      <c r="I1113" s="159"/>
      <c r="J1113" s="159"/>
      <c r="K1113" s="159"/>
      <c r="L1113" s="159"/>
      <c r="M1113" s="159"/>
    </row>
    <row r="1114" spans="2:13">
      <c r="B1114" s="399"/>
      <c r="C1114" s="159"/>
      <c r="D1114" s="159"/>
      <c r="E1114" s="159"/>
      <c r="F1114" s="159"/>
      <c r="G1114" s="159"/>
      <c r="H1114" s="159"/>
      <c r="I1114" s="159"/>
      <c r="J1114" s="159"/>
      <c r="K1114" s="159"/>
      <c r="L1114" s="159"/>
      <c r="M1114" s="159"/>
    </row>
    <row r="1115" spans="2:13">
      <c r="B1115" s="399"/>
      <c r="C1115" s="159"/>
      <c r="D1115" s="159"/>
      <c r="E1115" s="159"/>
      <c r="F1115" s="159"/>
      <c r="G1115" s="159"/>
      <c r="H1115" s="159"/>
      <c r="I1115" s="159"/>
      <c r="J1115" s="159"/>
      <c r="K1115" s="159"/>
      <c r="L1115" s="159"/>
      <c r="M1115" s="159"/>
    </row>
    <row r="1116" spans="2:13">
      <c r="B1116" s="399"/>
      <c r="C1116" s="159"/>
      <c r="D1116" s="159"/>
      <c r="E1116" s="159"/>
      <c r="F1116" s="159"/>
      <c r="G1116" s="159"/>
      <c r="H1116" s="159"/>
      <c r="I1116" s="159"/>
      <c r="J1116" s="159"/>
      <c r="K1116" s="159"/>
      <c r="L1116" s="159"/>
      <c r="M1116" s="159"/>
    </row>
    <row r="1117" spans="2:13">
      <c r="B1117" s="399"/>
      <c r="C1117" s="159"/>
      <c r="D1117" s="159"/>
      <c r="E1117" s="159"/>
      <c r="F1117" s="159"/>
      <c r="G1117" s="159"/>
      <c r="H1117" s="159"/>
      <c r="I1117" s="159"/>
      <c r="J1117" s="159"/>
      <c r="K1117" s="159"/>
      <c r="L1117" s="159"/>
      <c r="M1117" s="159"/>
    </row>
    <row r="1118" spans="2:13">
      <c r="B1118" s="399"/>
      <c r="C1118" s="159"/>
      <c r="D1118" s="159"/>
      <c r="E1118" s="159"/>
      <c r="F1118" s="159"/>
      <c r="G1118" s="159"/>
      <c r="H1118" s="159"/>
      <c r="I1118" s="159"/>
      <c r="J1118" s="159"/>
      <c r="K1118" s="159"/>
      <c r="L1118" s="159"/>
      <c r="M1118" s="159"/>
    </row>
    <row r="1119" spans="2:13">
      <c r="B1119" s="399"/>
      <c r="C1119" s="159"/>
      <c r="D1119" s="159"/>
      <c r="E1119" s="159"/>
      <c r="F1119" s="159"/>
      <c r="G1119" s="159"/>
      <c r="H1119" s="159"/>
      <c r="I1119" s="159"/>
      <c r="J1119" s="159"/>
      <c r="K1119" s="159"/>
      <c r="L1119" s="159"/>
      <c r="M1119" s="159"/>
    </row>
    <row r="1120" spans="2:13">
      <c r="B1120" s="399"/>
      <c r="C1120" s="159"/>
      <c r="D1120" s="159"/>
      <c r="E1120" s="159"/>
      <c r="F1120" s="159"/>
      <c r="G1120" s="159"/>
      <c r="H1120" s="159"/>
      <c r="I1120" s="159"/>
      <c r="J1120" s="159"/>
      <c r="K1120" s="159"/>
      <c r="L1120" s="159"/>
      <c r="M1120" s="159"/>
    </row>
    <row r="1121" spans="2:13">
      <c r="B1121" s="399"/>
      <c r="C1121" s="159"/>
      <c r="D1121" s="159"/>
      <c r="E1121" s="159"/>
      <c r="F1121" s="159"/>
      <c r="G1121" s="159"/>
      <c r="H1121" s="159"/>
      <c r="I1121" s="159"/>
      <c r="J1121" s="159"/>
      <c r="K1121" s="159"/>
      <c r="L1121" s="159"/>
      <c r="M1121" s="159"/>
    </row>
    <row r="1122" spans="2:13">
      <c r="B1122" s="399"/>
      <c r="C1122" s="159"/>
      <c r="D1122" s="159"/>
      <c r="E1122" s="159"/>
      <c r="F1122" s="159"/>
      <c r="G1122" s="159"/>
      <c r="H1122" s="159"/>
      <c r="I1122" s="159"/>
      <c r="J1122" s="159"/>
      <c r="K1122" s="159"/>
      <c r="L1122" s="159"/>
      <c r="M1122" s="159"/>
    </row>
    <row r="1123" spans="2:13">
      <c r="B1123" s="399"/>
      <c r="C1123" s="159"/>
      <c r="D1123" s="159"/>
      <c r="E1123" s="159"/>
      <c r="F1123" s="159"/>
      <c r="G1123" s="159"/>
      <c r="H1123" s="159"/>
      <c r="I1123" s="159"/>
      <c r="J1123" s="159"/>
      <c r="K1123" s="159"/>
      <c r="L1123" s="159"/>
      <c r="M1123" s="159"/>
    </row>
    <row r="1124" spans="2:13">
      <c r="B1124" s="399"/>
      <c r="C1124" s="159"/>
      <c r="D1124" s="159"/>
      <c r="E1124" s="159"/>
      <c r="F1124" s="159"/>
      <c r="G1124" s="159"/>
      <c r="H1124" s="159"/>
      <c r="I1124" s="159"/>
      <c r="J1124" s="159"/>
      <c r="K1124" s="159"/>
      <c r="L1124" s="159"/>
      <c r="M1124" s="159"/>
    </row>
    <row r="1125" spans="2:13">
      <c r="B1125" s="399"/>
      <c r="C1125" s="159"/>
      <c r="D1125" s="159"/>
      <c r="E1125" s="159"/>
      <c r="F1125" s="159"/>
      <c r="G1125" s="159"/>
      <c r="H1125" s="159"/>
      <c r="I1125" s="159"/>
      <c r="J1125" s="159"/>
      <c r="K1125" s="159"/>
      <c r="L1125" s="159"/>
      <c r="M1125" s="159"/>
    </row>
    <row r="1126" spans="2:13">
      <c r="B1126" s="399"/>
      <c r="C1126" s="159"/>
      <c r="D1126" s="159"/>
      <c r="E1126" s="159"/>
      <c r="F1126" s="159"/>
      <c r="G1126" s="159"/>
      <c r="H1126" s="159"/>
      <c r="I1126" s="159"/>
      <c r="J1126" s="159"/>
      <c r="K1126" s="159"/>
      <c r="L1126" s="159"/>
      <c r="M1126" s="159"/>
    </row>
    <row r="1127" spans="2:13">
      <c r="B1127" s="399"/>
      <c r="C1127" s="159"/>
      <c r="D1127" s="159"/>
      <c r="E1127" s="159"/>
      <c r="F1127" s="159"/>
      <c r="G1127" s="159"/>
      <c r="H1127" s="159"/>
      <c r="I1127" s="159"/>
      <c r="J1127" s="159"/>
      <c r="K1127" s="159"/>
      <c r="L1127" s="159"/>
      <c r="M1127" s="159"/>
    </row>
    <row r="1128" spans="2:13">
      <c r="B1128" s="399"/>
      <c r="C1128" s="159"/>
      <c r="D1128" s="159"/>
      <c r="E1128" s="159"/>
      <c r="F1128" s="159"/>
      <c r="G1128" s="159"/>
      <c r="H1128" s="159"/>
      <c r="I1128" s="159"/>
      <c r="J1128" s="159"/>
      <c r="K1128" s="159"/>
      <c r="L1128" s="159"/>
      <c r="M1128" s="159"/>
    </row>
    <row r="1129" spans="2:13">
      <c r="B1129" s="399"/>
      <c r="C1129" s="159"/>
      <c r="D1129" s="159"/>
      <c r="E1129" s="159"/>
      <c r="F1129" s="159"/>
      <c r="G1129" s="159"/>
      <c r="H1129" s="159"/>
      <c r="I1129" s="159"/>
      <c r="J1129" s="159"/>
      <c r="K1129" s="159"/>
      <c r="L1129" s="159"/>
      <c r="M1129" s="159"/>
    </row>
    <row r="1130" spans="2:13">
      <c r="B1130" s="399"/>
      <c r="C1130" s="159"/>
      <c r="D1130" s="159"/>
      <c r="E1130" s="159"/>
      <c r="F1130" s="159"/>
      <c r="G1130" s="159"/>
      <c r="H1130" s="159"/>
      <c r="I1130" s="159"/>
      <c r="J1130" s="159"/>
      <c r="K1130" s="159"/>
      <c r="L1130" s="159"/>
      <c r="M1130" s="159"/>
    </row>
    <row r="1131" spans="2:13">
      <c r="B1131" s="399"/>
      <c r="C1131" s="159"/>
      <c r="D1131" s="159"/>
      <c r="E1131" s="159"/>
      <c r="F1131" s="159"/>
      <c r="G1131" s="159"/>
      <c r="H1131" s="159"/>
      <c r="I1131" s="159"/>
      <c r="J1131" s="159"/>
      <c r="K1131" s="159"/>
      <c r="L1131" s="159"/>
      <c r="M1131" s="159"/>
    </row>
    <row r="1132" spans="2:13">
      <c r="B1132" s="399"/>
      <c r="C1132" s="159"/>
      <c r="D1132" s="159"/>
      <c r="E1132" s="159"/>
      <c r="F1132" s="159"/>
      <c r="G1132" s="159"/>
      <c r="H1132" s="159"/>
      <c r="I1132" s="159"/>
      <c r="J1132" s="159"/>
      <c r="K1132" s="159"/>
      <c r="L1132" s="159"/>
      <c r="M1132" s="159"/>
    </row>
    <row r="1133" spans="2:13">
      <c r="B1133" s="399"/>
      <c r="C1133" s="159"/>
      <c r="D1133" s="159"/>
      <c r="E1133" s="159"/>
      <c r="F1133" s="159"/>
      <c r="G1133" s="159"/>
      <c r="H1133" s="159"/>
      <c r="I1133" s="159"/>
      <c r="J1133" s="159"/>
      <c r="K1133" s="159"/>
      <c r="L1133" s="159"/>
      <c r="M1133" s="159"/>
    </row>
    <row r="1134" spans="2:13">
      <c r="B1134" s="399"/>
      <c r="C1134" s="159"/>
      <c r="D1134" s="159"/>
      <c r="E1134" s="159"/>
      <c r="F1134" s="159"/>
      <c r="G1134" s="159"/>
      <c r="H1134" s="159"/>
      <c r="I1134" s="159"/>
      <c r="J1134" s="159"/>
      <c r="K1134" s="159"/>
      <c r="L1134" s="159"/>
      <c r="M1134" s="159"/>
    </row>
    <row r="1135" spans="2:13">
      <c r="B1135" s="399"/>
      <c r="C1135" s="159"/>
      <c r="D1135" s="159"/>
      <c r="E1135" s="159"/>
      <c r="F1135" s="159"/>
      <c r="G1135" s="159"/>
      <c r="H1135" s="159"/>
      <c r="I1135" s="159"/>
      <c r="J1135" s="159"/>
      <c r="K1135" s="159"/>
      <c r="L1135" s="159"/>
      <c r="M1135" s="159"/>
    </row>
    <row r="1136" spans="2:13">
      <c r="B1136" s="399"/>
      <c r="C1136" s="159"/>
      <c r="D1136" s="159"/>
      <c r="E1136" s="159"/>
      <c r="F1136" s="159"/>
      <c r="G1136" s="159"/>
      <c r="H1136" s="159"/>
      <c r="I1136" s="159"/>
      <c r="J1136" s="159"/>
      <c r="K1136" s="159"/>
      <c r="L1136" s="159"/>
      <c r="M1136" s="159"/>
    </row>
    <row r="1137" spans="2:13">
      <c r="B1137" s="399"/>
      <c r="C1137" s="159"/>
      <c r="D1137" s="159"/>
      <c r="E1137" s="159"/>
      <c r="F1137" s="159"/>
      <c r="G1137" s="159"/>
      <c r="H1137" s="159"/>
      <c r="I1137" s="159"/>
      <c r="J1137" s="159"/>
      <c r="K1137" s="159"/>
      <c r="L1137" s="159"/>
      <c r="M1137" s="159"/>
    </row>
    <row r="1138" spans="2:13">
      <c r="B1138" s="399"/>
      <c r="C1138" s="159"/>
      <c r="D1138" s="159"/>
      <c r="E1138" s="159"/>
      <c r="F1138" s="159"/>
      <c r="G1138" s="159"/>
      <c r="H1138" s="159"/>
      <c r="I1138" s="159"/>
      <c r="J1138" s="159"/>
      <c r="K1138" s="159"/>
      <c r="L1138" s="159"/>
      <c r="M1138" s="159"/>
    </row>
    <row r="1139" spans="2:13">
      <c r="B1139" s="399"/>
      <c r="C1139" s="159"/>
      <c r="D1139" s="159"/>
      <c r="E1139" s="159"/>
      <c r="F1139" s="159"/>
      <c r="G1139" s="159"/>
      <c r="H1139" s="159"/>
      <c r="I1139" s="159"/>
      <c r="J1139" s="159"/>
      <c r="K1139" s="159"/>
      <c r="L1139" s="159"/>
      <c r="M1139" s="159"/>
    </row>
    <row r="1140" spans="2:13">
      <c r="B1140" s="399"/>
      <c r="C1140" s="159"/>
      <c r="D1140" s="159"/>
      <c r="E1140" s="159"/>
      <c r="F1140" s="159"/>
      <c r="G1140" s="159"/>
      <c r="H1140" s="159"/>
      <c r="I1140" s="159"/>
      <c r="J1140" s="159"/>
      <c r="K1140" s="159"/>
      <c r="L1140" s="159"/>
      <c r="M1140" s="159"/>
    </row>
    <row r="1141" spans="2:13">
      <c r="B1141" s="399"/>
      <c r="C1141" s="159"/>
      <c r="D1141" s="159"/>
      <c r="E1141" s="159"/>
      <c r="F1141" s="159"/>
      <c r="G1141" s="159"/>
      <c r="H1141" s="159"/>
      <c r="I1141" s="159"/>
      <c r="J1141" s="159"/>
      <c r="K1141" s="159"/>
      <c r="L1141" s="159"/>
      <c r="M1141" s="159"/>
    </row>
    <row r="1142" spans="2:13">
      <c r="B1142" s="399"/>
      <c r="C1142" s="159"/>
      <c r="D1142" s="159"/>
      <c r="E1142" s="159"/>
      <c r="F1142" s="159"/>
      <c r="G1142" s="159"/>
      <c r="H1142" s="159"/>
      <c r="I1142" s="159"/>
      <c r="J1142" s="159"/>
      <c r="K1142" s="159"/>
      <c r="L1142" s="159"/>
      <c r="M1142" s="159"/>
    </row>
    <row r="1143" spans="2:13">
      <c r="B1143" s="399"/>
      <c r="C1143" s="159"/>
      <c r="D1143" s="159"/>
      <c r="E1143" s="159"/>
      <c r="F1143" s="159"/>
      <c r="G1143" s="159"/>
      <c r="H1143" s="159"/>
      <c r="I1143" s="159"/>
      <c r="J1143" s="159"/>
      <c r="K1143" s="159"/>
      <c r="L1143" s="159"/>
      <c r="M1143" s="159"/>
    </row>
    <row r="1144" spans="2:13">
      <c r="B1144" s="399"/>
      <c r="C1144" s="159"/>
      <c r="D1144" s="159"/>
      <c r="E1144" s="159"/>
      <c r="F1144" s="159"/>
      <c r="G1144" s="159"/>
      <c r="H1144" s="159"/>
      <c r="I1144" s="159"/>
      <c r="J1144" s="159"/>
      <c r="K1144" s="159"/>
      <c r="L1144" s="159"/>
      <c r="M1144" s="159"/>
    </row>
    <row r="1145" spans="2:13">
      <c r="B1145" s="399"/>
      <c r="C1145" s="159"/>
      <c r="D1145" s="159"/>
      <c r="E1145" s="159"/>
      <c r="F1145" s="159"/>
      <c r="G1145" s="159"/>
      <c r="H1145" s="159"/>
      <c r="I1145" s="159"/>
      <c r="J1145" s="159"/>
      <c r="K1145" s="159"/>
      <c r="L1145" s="159"/>
      <c r="M1145" s="159"/>
    </row>
    <row r="1146" spans="2:13">
      <c r="B1146" s="399"/>
      <c r="C1146" s="159"/>
      <c r="D1146" s="159"/>
      <c r="E1146" s="159"/>
      <c r="F1146" s="159"/>
      <c r="G1146" s="159"/>
      <c r="H1146" s="159"/>
      <c r="I1146" s="159"/>
      <c r="J1146" s="159"/>
      <c r="K1146" s="159"/>
      <c r="L1146" s="159"/>
      <c r="M1146" s="159"/>
    </row>
    <row r="1147" spans="2:13">
      <c r="B1147" s="399"/>
      <c r="C1147" s="159"/>
      <c r="D1147" s="159"/>
      <c r="E1147" s="159"/>
      <c r="F1147" s="159"/>
      <c r="G1147" s="159"/>
      <c r="H1147" s="159"/>
      <c r="I1147" s="159"/>
      <c r="J1147" s="159"/>
      <c r="K1147" s="159"/>
      <c r="L1147" s="159"/>
      <c r="M1147" s="159"/>
    </row>
    <row r="1148" spans="2:13">
      <c r="B1148" s="399"/>
      <c r="C1148" s="159"/>
      <c r="D1148" s="159"/>
      <c r="E1148" s="159"/>
      <c r="F1148" s="159"/>
      <c r="G1148" s="159"/>
      <c r="H1148" s="159"/>
      <c r="I1148" s="159"/>
      <c r="J1148" s="159"/>
      <c r="K1148" s="159"/>
      <c r="L1148" s="159"/>
      <c r="M1148" s="159"/>
    </row>
    <row r="1149" spans="2:13">
      <c r="B1149" s="399"/>
      <c r="C1149" s="159"/>
      <c r="D1149" s="159"/>
      <c r="E1149" s="159"/>
      <c r="F1149" s="159"/>
      <c r="G1149" s="159"/>
      <c r="H1149" s="159"/>
      <c r="I1149" s="159"/>
      <c r="J1149" s="159"/>
      <c r="K1149" s="159"/>
      <c r="L1149" s="159"/>
      <c r="M1149" s="159"/>
    </row>
    <row r="1150" spans="2:13">
      <c r="B1150" s="399"/>
      <c r="C1150" s="159"/>
      <c r="D1150" s="159"/>
      <c r="E1150" s="159"/>
      <c r="F1150" s="159"/>
      <c r="G1150" s="159"/>
      <c r="H1150" s="159"/>
      <c r="I1150" s="159"/>
      <c r="J1150" s="159"/>
      <c r="K1150" s="159"/>
      <c r="L1150" s="159"/>
      <c r="M1150" s="159"/>
    </row>
    <row r="1151" spans="2:13">
      <c r="B1151" s="399"/>
      <c r="C1151" s="159"/>
      <c r="D1151" s="159"/>
      <c r="E1151" s="159"/>
      <c r="F1151" s="159"/>
      <c r="G1151" s="159"/>
      <c r="H1151" s="159"/>
      <c r="I1151" s="159"/>
      <c r="J1151" s="159"/>
      <c r="K1151" s="159"/>
      <c r="L1151" s="159"/>
      <c r="M1151" s="159"/>
    </row>
    <row r="1152" spans="2:13">
      <c r="B1152" s="399"/>
      <c r="C1152" s="159"/>
      <c r="D1152" s="159"/>
      <c r="E1152" s="159"/>
      <c r="F1152" s="159"/>
      <c r="G1152" s="159"/>
      <c r="H1152" s="159"/>
      <c r="I1152" s="159"/>
      <c r="J1152" s="159"/>
      <c r="K1152" s="159"/>
      <c r="L1152" s="159"/>
      <c r="M1152" s="159"/>
    </row>
    <row r="1153" spans="2:13">
      <c r="B1153" s="399"/>
      <c r="C1153" s="159"/>
      <c r="D1153" s="159"/>
      <c r="E1153" s="159"/>
      <c r="F1153" s="159"/>
      <c r="G1153" s="159"/>
      <c r="H1153" s="159"/>
      <c r="I1153" s="159"/>
      <c r="J1153" s="159"/>
      <c r="K1153" s="159"/>
      <c r="L1153" s="159"/>
      <c r="M1153" s="159"/>
    </row>
    <row r="1154" spans="2:13">
      <c r="B1154" s="399"/>
      <c r="C1154" s="159"/>
      <c r="D1154" s="159"/>
      <c r="E1154" s="159"/>
      <c r="F1154" s="159"/>
      <c r="G1154" s="159"/>
      <c r="H1154" s="159"/>
      <c r="I1154" s="159"/>
      <c r="J1154" s="159"/>
      <c r="K1154" s="159"/>
      <c r="L1154" s="159"/>
      <c r="M1154" s="159"/>
    </row>
    <row r="1155" spans="2:13">
      <c r="B1155" s="399"/>
      <c r="C1155" s="159"/>
      <c r="D1155" s="159"/>
      <c r="E1155" s="159"/>
      <c r="F1155" s="159"/>
      <c r="G1155" s="159"/>
      <c r="H1155" s="159"/>
      <c r="I1155" s="159"/>
      <c r="J1155" s="159"/>
      <c r="K1155" s="159"/>
      <c r="L1155" s="159"/>
      <c r="M1155" s="159"/>
    </row>
    <row r="1156" spans="2:13">
      <c r="B1156" s="399"/>
      <c r="C1156" s="159"/>
      <c r="D1156" s="159"/>
      <c r="E1156" s="159"/>
      <c r="F1156" s="159"/>
      <c r="G1156" s="159"/>
      <c r="H1156" s="159"/>
      <c r="I1156" s="159"/>
      <c r="J1156" s="159"/>
      <c r="K1156" s="159"/>
      <c r="L1156" s="159"/>
      <c r="M1156" s="159"/>
    </row>
    <row r="1157" spans="2:13">
      <c r="B1157" s="399"/>
      <c r="C1157" s="159"/>
      <c r="D1157" s="159"/>
      <c r="E1157" s="159"/>
      <c r="F1157" s="159"/>
      <c r="G1157" s="159"/>
      <c r="H1157" s="159"/>
      <c r="I1157" s="159"/>
      <c r="J1157" s="159"/>
      <c r="K1157" s="159"/>
      <c r="L1157" s="159"/>
      <c r="M1157" s="159"/>
    </row>
    <row r="1158" spans="2:13">
      <c r="B1158" s="399"/>
      <c r="C1158" s="159"/>
      <c r="D1158" s="159"/>
      <c r="E1158" s="159"/>
      <c r="F1158" s="159"/>
      <c r="G1158" s="159"/>
      <c r="H1158" s="159"/>
      <c r="I1158" s="159"/>
      <c r="J1158" s="159"/>
      <c r="K1158" s="159"/>
      <c r="L1158" s="159"/>
      <c r="M1158" s="159"/>
    </row>
    <row r="1159" spans="2:13">
      <c r="B1159" s="399"/>
      <c r="C1159" s="159"/>
      <c r="D1159" s="159"/>
      <c r="E1159" s="159"/>
      <c r="F1159" s="159"/>
      <c r="G1159" s="159"/>
      <c r="H1159" s="159"/>
      <c r="I1159" s="159"/>
      <c r="J1159" s="159"/>
      <c r="K1159" s="159"/>
      <c r="L1159" s="159"/>
      <c r="M1159" s="159"/>
    </row>
    <row r="1160" spans="2:13">
      <c r="B1160" s="399"/>
      <c r="C1160" s="159"/>
      <c r="D1160" s="159"/>
      <c r="E1160" s="159"/>
      <c r="F1160" s="159"/>
      <c r="G1160" s="159"/>
      <c r="H1160" s="159"/>
      <c r="I1160" s="159"/>
      <c r="J1160" s="159"/>
      <c r="K1160" s="159"/>
      <c r="L1160" s="159"/>
      <c r="M1160" s="159"/>
    </row>
    <row r="1161" spans="2:13">
      <c r="B1161" s="399"/>
      <c r="C1161" s="159"/>
      <c r="D1161" s="159"/>
      <c r="E1161" s="159"/>
      <c r="F1161" s="159"/>
      <c r="G1161" s="159"/>
      <c r="H1161" s="159"/>
      <c r="I1161" s="159"/>
      <c r="J1161" s="159"/>
      <c r="K1161" s="159"/>
      <c r="L1161" s="159"/>
      <c r="M1161" s="159"/>
    </row>
    <row r="1162" spans="2:13">
      <c r="B1162" s="399"/>
      <c r="C1162" s="159"/>
      <c r="D1162" s="159"/>
      <c r="E1162" s="159"/>
      <c r="F1162" s="159"/>
      <c r="G1162" s="159"/>
      <c r="H1162" s="159"/>
      <c r="I1162" s="159"/>
      <c r="J1162" s="159"/>
      <c r="K1162" s="159"/>
      <c r="L1162" s="159"/>
      <c r="M1162" s="159"/>
    </row>
    <row r="1163" spans="2:13">
      <c r="B1163" s="399"/>
      <c r="C1163" s="159"/>
      <c r="D1163" s="159"/>
      <c r="E1163" s="159"/>
      <c r="F1163" s="159"/>
      <c r="G1163" s="159"/>
      <c r="H1163" s="159"/>
      <c r="I1163" s="159"/>
      <c r="J1163" s="159"/>
      <c r="K1163" s="159"/>
      <c r="L1163" s="159"/>
      <c r="M1163" s="159"/>
    </row>
    <row r="1164" spans="2:13">
      <c r="B1164" s="399"/>
      <c r="C1164" s="159"/>
      <c r="D1164" s="159"/>
      <c r="E1164" s="159"/>
      <c r="F1164" s="159"/>
      <c r="G1164" s="159"/>
      <c r="H1164" s="159"/>
      <c r="I1164" s="159"/>
      <c r="J1164" s="159"/>
      <c r="K1164" s="159"/>
      <c r="L1164" s="159"/>
      <c r="M1164" s="159"/>
    </row>
    <row r="1165" spans="2:13">
      <c r="B1165" s="399"/>
      <c r="C1165" s="159"/>
      <c r="D1165" s="159"/>
      <c r="E1165" s="159"/>
      <c r="F1165" s="159"/>
      <c r="G1165" s="159"/>
      <c r="H1165" s="159"/>
      <c r="I1165" s="159"/>
      <c r="J1165" s="159"/>
      <c r="K1165" s="159"/>
      <c r="L1165" s="159"/>
      <c r="M1165" s="159"/>
    </row>
    <row r="1166" spans="2:13">
      <c r="B1166" s="399"/>
      <c r="C1166" s="159"/>
      <c r="D1166" s="159"/>
      <c r="E1166" s="159"/>
      <c r="F1166" s="159"/>
      <c r="G1166" s="159"/>
      <c r="H1166" s="159"/>
      <c r="I1166" s="159"/>
      <c r="J1166" s="159"/>
      <c r="K1166" s="159"/>
      <c r="L1166" s="159"/>
      <c r="M1166" s="159"/>
    </row>
    <row r="1167" spans="2:13">
      <c r="B1167" s="399"/>
      <c r="C1167" s="159"/>
      <c r="D1167" s="159"/>
      <c r="E1167" s="159"/>
      <c r="F1167" s="159"/>
      <c r="G1167" s="159"/>
      <c r="H1167" s="159"/>
      <c r="I1167" s="159"/>
      <c r="J1167" s="159"/>
      <c r="K1167" s="159"/>
      <c r="L1167" s="159"/>
      <c r="M1167" s="159"/>
    </row>
    <row r="1168" spans="2:13">
      <c r="B1168" s="399"/>
      <c r="C1168" s="159"/>
      <c r="D1168" s="159"/>
      <c r="E1168" s="159"/>
      <c r="F1168" s="159"/>
      <c r="G1168" s="159"/>
      <c r="H1168" s="159"/>
      <c r="I1168" s="159"/>
      <c r="J1168" s="159"/>
      <c r="K1168" s="159"/>
      <c r="L1168" s="159"/>
      <c r="M1168" s="159"/>
    </row>
    <row r="1169" spans="2:13">
      <c r="B1169" s="399"/>
      <c r="C1169" s="159"/>
      <c r="D1169" s="159"/>
      <c r="E1169" s="159"/>
      <c r="F1169" s="159"/>
      <c r="G1169" s="159"/>
      <c r="H1169" s="159"/>
      <c r="I1169" s="159"/>
      <c r="J1169" s="159"/>
      <c r="K1169" s="159"/>
      <c r="L1169" s="159"/>
      <c r="M1169" s="159"/>
    </row>
    <row r="1170" spans="2:13">
      <c r="B1170" s="399"/>
      <c r="C1170" s="159"/>
      <c r="D1170" s="159"/>
      <c r="E1170" s="159"/>
      <c r="F1170" s="159"/>
      <c r="G1170" s="159"/>
      <c r="H1170" s="159"/>
      <c r="I1170" s="159"/>
      <c r="J1170" s="159"/>
      <c r="K1170" s="159"/>
      <c r="L1170" s="159"/>
      <c r="M1170" s="159"/>
    </row>
    <row r="1171" spans="2:13">
      <c r="B1171" s="399"/>
      <c r="C1171" s="159"/>
      <c r="D1171" s="159"/>
      <c r="E1171" s="159"/>
      <c r="F1171" s="159"/>
      <c r="G1171" s="159"/>
      <c r="H1171" s="159"/>
      <c r="I1171" s="159"/>
      <c r="J1171" s="159"/>
      <c r="K1171" s="159"/>
      <c r="L1171" s="159"/>
      <c r="M1171" s="159"/>
    </row>
    <row r="1172" spans="2:13">
      <c r="B1172" s="399"/>
      <c r="C1172" s="159"/>
      <c r="D1172" s="159"/>
      <c r="E1172" s="159"/>
      <c r="F1172" s="159"/>
      <c r="G1172" s="159"/>
      <c r="H1172" s="159"/>
      <c r="I1172" s="159"/>
      <c r="J1172" s="159"/>
      <c r="K1172" s="159"/>
      <c r="L1172" s="159"/>
      <c r="M1172" s="159"/>
    </row>
    <row r="1173" spans="2:13">
      <c r="B1173" s="399"/>
      <c r="C1173" s="159"/>
      <c r="D1173" s="159"/>
      <c r="E1173" s="159"/>
      <c r="F1173" s="159"/>
      <c r="G1173" s="159"/>
      <c r="H1173" s="159"/>
      <c r="I1173" s="159"/>
      <c r="J1173" s="159"/>
      <c r="K1173" s="159"/>
      <c r="L1173" s="159"/>
      <c r="M1173" s="159"/>
    </row>
    <row r="1174" spans="2:13">
      <c r="B1174" s="399"/>
      <c r="C1174" s="159"/>
      <c r="D1174" s="159"/>
      <c r="E1174" s="159"/>
      <c r="F1174" s="159"/>
      <c r="G1174" s="159"/>
      <c r="H1174" s="159"/>
      <c r="I1174" s="159"/>
      <c r="J1174" s="159"/>
      <c r="K1174" s="159"/>
      <c r="L1174" s="159"/>
      <c r="M1174" s="159"/>
    </row>
    <row r="1175" spans="2:13">
      <c r="B1175" s="399"/>
      <c r="C1175" s="159"/>
      <c r="D1175" s="159"/>
      <c r="E1175" s="159"/>
      <c r="F1175" s="159"/>
      <c r="G1175" s="159"/>
      <c r="H1175" s="159"/>
      <c r="I1175" s="159"/>
      <c r="J1175" s="159"/>
      <c r="K1175" s="159"/>
      <c r="L1175" s="159"/>
      <c r="M1175" s="159"/>
    </row>
    <row r="1176" spans="2:13">
      <c r="B1176" s="399"/>
      <c r="C1176" s="159"/>
      <c r="D1176" s="159"/>
      <c r="E1176" s="159"/>
      <c r="F1176" s="159"/>
      <c r="G1176" s="159"/>
      <c r="H1176" s="159"/>
      <c r="I1176" s="159"/>
      <c r="J1176" s="159"/>
      <c r="K1176" s="159"/>
      <c r="L1176" s="159"/>
      <c r="M1176" s="159"/>
    </row>
    <row r="1177" spans="2:13">
      <c r="B1177" s="399"/>
      <c r="C1177" s="159"/>
      <c r="D1177" s="159"/>
      <c r="E1177" s="159"/>
      <c r="F1177" s="159"/>
      <c r="G1177" s="159"/>
      <c r="H1177" s="159"/>
      <c r="I1177" s="159"/>
      <c r="J1177" s="159"/>
      <c r="K1177" s="159"/>
      <c r="L1177" s="159"/>
      <c r="M1177" s="159"/>
    </row>
    <row r="1178" spans="2:13">
      <c r="B1178" s="399"/>
      <c r="C1178" s="159"/>
      <c r="D1178" s="159"/>
      <c r="E1178" s="159"/>
      <c r="F1178" s="159"/>
      <c r="G1178" s="159"/>
      <c r="H1178" s="159"/>
      <c r="I1178" s="159"/>
      <c r="J1178" s="159"/>
      <c r="K1178" s="159"/>
      <c r="L1178" s="159"/>
      <c r="M1178" s="159"/>
    </row>
    <row r="1179" spans="2:13">
      <c r="B1179" s="399"/>
      <c r="C1179" s="159"/>
      <c r="D1179" s="159"/>
      <c r="E1179" s="159"/>
      <c r="F1179" s="159"/>
      <c r="G1179" s="159"/>
      <c r="H1179" s="159"/>
      <c r="I1179" s="159"/>
      <c r="J1179" s="159"/>
      <c r="K1179" s="159"/>
      <c r="L1179" s="159"/>
      <c r="M1179" s="159"/>
    </row>
    <row r="1180" spans="2:13">
      <c r="B1180" s="399"/>
      <c r="C1180" s="159"/>
      <c r="D1180" s="159"/>
      <c r="E1180" s="159"/>
      <c r="F1180" s="159"/>
      <c r="G1180" s="159"/>
      <c r="H1180" s="159"/>
      <c r="I1180" s="159"/>
      <c r="J1180" s="159"/>
      <c r="K1180" s="159"/>
      <c r="L1180" s="159"/>
      <c r="M1180" s="159"/>
    </row>
    <row r="1181" spans="2:13">
      <c r="B1181" s="399"/>
      <c r="C1181" s="159"/>
      <c r="D1181" s="159"/>
      <c r="E1181" s="159"/>
      <c r="F1181" s="159"/>
      <c r="G1181" s="159"/>
      <c r="H1181" s="159"/>
      <c r="I1181" s="159"/>
      <c r="J1181" s="159"/>
      <c r="K1181" s="159"/>
      <c r="L1181" s="159"/>
      <c r="M1181" s="159"/>
    </row>
    <row r="1182" spans="2:13">
      <c r="B1182" s="399"/>
      <c r="C1182" s="159"/>
      <c r="D1182" s="159"/>
      <c r="E1182" s="159"/>
      <c r="F1182" s="159"/>
      <c r="G1182" s="159"/>
      <c r="H1182" s="159"/>
      <c r="I1182" s="159"/>
      <c r="J1182" s="159"/>
      <c r="K1182" s="159"/>
      <c r="L1182" s="159"/>
      <c r="M1182" s="159"/>
    </row>
    <row r="1183" spans="2:13">
      <c r="B1183" s="399"/>
      <c r="C1183" s="159"/>
      <c r="D1183" s="159"/>
      <c r="E1183" s="159"/>
      <c r="F1183" s="159"/>
      <c r="G1183" s="159"/>
      <c r="H1183" s="159"/>
      <c r="I1183" s="159"/>
      <c r="J1183" s="159"/>
      <c r="K1183" s="159"/>
      <c r="L1183" s="159"/>
      <c r="M1183" s="159"/>
    </row>
    <row r="1184" spans="2:13">
      <c r="B1184" s="399"/>
      <c r="C1184" s="159"/>
      <c r="D1184" s="159"/>
      <c r="E1184" s="159"/>
      <c r="F1184" s="159"/>
      <c r="G1184" s="159"/>
      <c r="H1184" s="159"/>
      <c r="I1184" s="159"/>
      <c r="J1184" s="159"/>
      <c r="K1184" s="159"/>
      <c r="L1184" s="159"/>
      <c r="M1184" s="159"/>
    </row>
    <row r="1185" spans="2:13">
      <c r="B1185" s="399"/>
      <c r="C1185" s="159"/>
      <c r="D1185" s="159"/>
      <c r="E1185" s="159"/>
      <c r="F1185" s="159"/>
      <c r="G1185" s="159"/>
      <c r="H1185" s="159"/>
      <c r="I1185" s="159"/>
      <c r="J1185" s="159"/>
      <c r="K1185" s="159"/>
      <c r="L1185" s="159"/>
      <c r="M1185" s="159"/>
    </row>
    <row r="1186" spans="2:13">
      <c r="B1186" s="399"/>
      <c r="C1186" s="159"/>
      <c r="D1186" s="159"/>
      <c r="E1186" s="159"/>
      <c r="F1186" s="159"/>
      <c r="G1186" s="159"/>
      <c r="H1186" s="159"/>
      <c r="I1186" s="159"/>
      <c r="J1186" s="159"/>
      <c r="K1186" s="159"/>
      <c r="L1186" s="159"/>
      <c r="M1186" s="159"/>
    </row>
    <row r="1187" spans="2:13">
      <c r="B1187" s="399"/>
      <c r="C1187" s="159"/>
      <c r="D1187" s="159"/>
      <c r="E1187" s="159"/>
      <c r="F1187" s="159"/>
      <c r="G1187" s="159"/>
      <c r="H1187" s="159"/>
      <c r="I1187" s="159"/>
      <c r="J1187" s="159"/>
      <c r="K1187" s="159"/>
      <c r="L1187" s="159"/>
      <c r="M1187" s="159"/>
    </row>
    <row r="1188" spans="2:13">
      <c r="B1188" s="399"/>
      <c r="C1188" s="159"/>
      <c r="D1188" s="159"/>
      <c r="E1188" s="159"/>
      <c r="F1188" s="159"/>
      <c r="G1188" s="159"/>
      <c r="H1188" s="159"/>
      <c r="I1188" s="159"/>
      <c r="J1188" s="159"/>
      <c r="K1188" s="159"/>
      <c r="L1188" s="159"/>
      <c r="M1188" s="159"/>
    </row>
    <row r="1189" spans="2:13">
      <c r="B1189" s="399"/>
      <c r="C1189" s="159"/>
      <c r="D1189" s="159"/>
      <c r="E1189" s="159"/>
      <c r="F1189" s="159"/>
      <c r="G1189" s="159"/>
      <c r="H1189" s="159"/>
      <c r="I1189" s="159"/>
      <c r="J1189" s="159"/>
      <c r="K1189" s="159"/>
      <c r="L1189" s="159"/>
      <c r="M1189" s="159"/>
    </row>
    <row r="1190" spans="2:13">
      <c r="B1190" s="399"/>
      <c r="C1190" s="159"/>
      <c r="D1190" s="159"/>
      <c r="E1190" s="159"/>
      <c r="F1190" s="159"/>
      <c r="G1190" s="159"/>
      <c r="H1190" s="159"/>
      <c r="I1190" s="159"/>
      <c r="J1190" s="159"/>
      <c r="K1190" s="159"/>
      <c r="L1190" s="159"/>
      <c r="M1190" s="159"/>
    </row>
    <row r="1191" spans="2:13">
      <c r="B1191" s="399"/>
      <c r="C1191" s="159"/>
      <c r="D1191" s="159"/>
      <c r="E1191" s="159"/>
      <c r="F1191" s="159"/>
      <c r="G1191" s="159"/>
      <c r="H1191" s="159"/>
      <c r="I1191" s="159"/>
      <c r="J1191" s="159"/>
      <c r="K1191" s="159"/>
      <c r="L1191" s="159"/>
      <c r="M1191" s="159"/>
    </row>
    <row r="1192" spans="2:13">
      <c r="B1192" s="399"/>
      <c r="C1192" s="159"/>
      <c r="D1192" s="159"/>
      <c r="E1192" s="159"/>
      <c r="F1192" s="159"/>
      <c r="G1192" s="159"/>
      <c r="H1192" s="159"/>
      <c r="I1192" s="159"/>
      <c r="J1192" s="159"/>
      <c r="K1192" s="159"/>
      <c r="L1192" s="159"/>
      <c r="M1192" s="159"/>
    </row>
    <row r="1193" spans="2:13">
      <c r="B1193" s="399"/>
      <c r="C1193" s="159"/>
      <c r="D1193" s="159"/>
      <c r="E1193" s="159"/>
      <c r="F1193" s="159"/>
      <c r="G1193" s="159"/>
      <c r="H1193" s="159"/>
      <c r="I1193" s="159"/>
      <c r="J1193" s="159"/>
      <c r="K1193" s="159"/>
      <c r="L1193" s="159"/>
      <c r="M1193" s="159"/>
    </row>
    <row r="1194" spans="2:13">
      <c r="B1194" s="399"/>
      <c r="C1194" s="159"/>
      <c r="D1194" s="159"/>
      <c r="E1194" s="159"/>
      <c r="F1194" s="159"/>
      <c r="G1194" s="159"/>
      <c r="H1194" s="159"/>
      <c r="I1194" s="159"/>
      <c r="J1194" s="159"/>
      <c r="K1194" s="159"/>
      <c r="L1194" s="159"/>
      <c r="M1194" s="159"/>
    </row>
    <row r="1195" spans="2:13">
      <c r="B1195" s="399"/>
      <c r="C1195" s="159"/>
      <c r="D1195" s="159"/>
      <c r="E1195" s="159"/>
      <c r="F1195" s="159"/>
      <c r="G1195" s="159"/>
      <c r="H1195" s="159"/>
      <c r="I1195" s="159"/>
      <c r="J1195" s="159"/>
      <c r="K1195" s="159"/>
      <c r="L1195" s="159"/>
      <c r="M1195" s="159"/>
    </row>
    <row r="1196" spans="2:13">
      <c r="B1196" s="399"/>
      <c r="C1196" s="159"/>
      <c r="D1196" s="159"/>
      <c r="E1196" s="159"/>
      <c r="F1196" s="159"/>
      <c r="G1196" s="159"/>
      <c r="H1196" s="159"/>
      <c r="I1196" s="159"/>
      <c r="J1196" s="159"/>
      <c r="K1196" s="159"/>
      <c r="L1196" s="159"/>
      <c r="M1196" s="159"/>
    </row>
    <row r="1197" spans="2:13">
      <c r="B1197" s="399"/>
      <c r="C1197" s="159"/>
      <c r="D1197" s="159"/>
      <c r="E1197" s="159"/>
      <c r="F1197" s="159"/>
      <c r="G1197" s="159"/>
      <c r="H1197" s="159"/>
      <c r="I1197" s="159"/>
      <c r="J1197" s="159"/>
      <c r="K1197" s="159"/>
      <c r="L1197" s="159"/>
      <c r="M1197" s="159"/>
    </row>
    <row r="1198" spans="2:13">
      <c r="B1198" s="399"/>
      <c r="C1198" s="159"/>
      <c r="D1198" s="159"/>
      <c r="E1198" s="159"/>
      <c r="F1198" s="159"/>
      <c r="G1198" s="159"/>
      <c r="H1198" s="159"/>
      <c r="I1198" s="159"/>
      <c r="J1198" s="159"/>
      <c r="K1198" s="159"/>
      <c r="L1198" s="159"/>
      <c r="M1198" s="159"/>
    </row>
    <row r="1199" spans="2:13">
      <c r="B1199" s="399"/>
      <c r="C1199" s="159"/>
      <c r="D1199" s="159"/>
      <c r="E1199" s="159"/>
      <c r="F1199" s="159"/>
      <c r="G1199" s="159"/>
      <c r="H1199" s="159"/>
      <c r="I1199" s="159"/>
      <c r="J1199" s="159"/>
      <c r="K1199" s="159"/>
      <c r="L1199" s="159"/>
      <c r="M1199" s="159"/>
    </row>
    <row r="1200" spans="2:13">
      <c r="B1200" s="399"/>
      <c r="C1200" s="159"/>
      <c r="D1200" s="159"/>
      <c r="E1200" s="159"/>
      <c r="F1200" s="159"/>
      <c r="G1200" s="159"/>
      <c r="H1200" s="159"/>
      <c r="I1200" s="159"/>
      <c r="J1200" s="159"/>
      <c r="K1200" s="159"/>
      <c r="L1200" s="159"/>
      <c r="M1200" s="159"/>
    </row>
    <row r="1201" spans="2:13">
      <c r="B1201" s="399"/>
      <c r="C1201" s="159"/>
      <c r="D1201" s="159"/>
      <c r="E1201" s="159"/>
      <c r="F1201" s="159"/>
      <c r="G1201" s="159"/>
      <c r="H1201" s="159"/>
      <c r="I1201" s="159"/>
      <c r="J1201" s="159"/>
      <c r="K1201" s="159"/>
      <c r="L1201" s="159"/>
      <c r="M1201" s="159"/>
    </row>
    <row r="1202" spans="2:13">
      <c r="B1202" s="399"/>
      <c r="C1202" s="159"/>
      <c r="D1202" s="159"/>
      <c r="E1202" s="159"/>
      <c r="F1202" s="159"/>
      <c r="G1202" s="159"/>
      <c r="H1202" s="159"/>
      <c r="I1202" s="159"/>
      <c r="J1202" s="159"/>
      <c r="K1202" s="159"/>
      <c r="L1202" s="159"/>
      <c r="M1202" s="159"/>
    </row>
    <row r="1203" spans="2:13">
      <c r="B1203" s="399"/>
      <c r="C1203" s="159"/>
      <c r="D1203" s="159"/>
      <c r="E1203" s="159"/>
      <c r="F1203" s="159"/>
      <c r="G1203" s="159"/>
      <c r="H1203" s="159"/>
      <c r="I1203" s="159"/>
      <c r="J1203" s="159"/>
      <c r="K1203" s="159"/>
      <c r="L1203" s="159"/>
      <c r="M1203" s="159"/>
    </row>
    <row r="1204" spans="2:13">
      <c r="B1204" s="399"/>
      <c r="C1204" s="159"/>
      <c r="D1204" s="159"/>
      <c r="E1204" s="159"/>
      <c r="F1204" s="159"/>
      <c r="G1204" s="159"/>
      <c r="H1204" s="159"/>
      <c r="I1204" s="159"/>
      <c r="J1204" s="159"/>
      <c r="K1204" s="159"/>
      <c r="L1204" s="159"/>
      <c r="M1204" s="159"/>
    </row>
    <row r="1205" spans="2:13">
      <c r="B1205" s="399"/>
      <c r="C1205" s="159"/>
      <c r="D1205" s="159"/>
      <c r="E1205" s="159"/>
      <c r="F1205" s="159"/>
      <c r="G1205" s="159"/>
      <c r="H1205" s="159"/>
      <c r="I1205" s="159"/>
      <c r="J1205" s="159"/>
      <c r="K1205" s="159"/>
      <c r="L1205" s="159"/>
      <c r="M1205" s="159"/>
    </row>
    <row r="1206" spans="2:13">
      <c r="B1206" s="399"/>
      <c r="C1206" s="159"/>
      <c r="D1206" s="159"/>
      <c r="E1206" s="159"/>
      <c r="F1206" s="159"/>
      <c r="G1206" s="159"/>
      <c r="H1206" s="159"/>
      <c r="I1206" s="159"/>
      <c r="J1206" s="159"/>
      <c r="K1206" s="159"/>
      <c r="L1206" s="159"/>
      <c r="M1206" s="159"/>
    </row>
    <row r="1207" spans="2:13">
      <c r="B1207" s="399"/>
      <c r="C1207" s="159"/>
      <c r="D1207" s="159"/>
      <c r="E1207" s="159"/>
      <c r="F1207" s="159"/>
      <c r="G1207" s="159"/>
      <c r="H1207" s="159"/>
      <c r="I1207" s="159"/>
      <c r="J1207" s="159"/>
      <c r="K1207" s="159"/>
      <c r="L1207" s="159"/>
      <c r="M1207" s="159"/>
    </row>
    <row r="1208" spans="2:13">
      <c r="B1208" s="399"/>
      <c r="C1208" s="159"/>
      <c r="D1208" s="159"/>
      <c r="E1208" s="159"/>
      <c r="F1208" s="159"/>
      <c r="G1208" s="159"/>
      <c r="H1208" s="159"/>
      <c r="I1208" s="159"/>
      <c r="J1208" s="159"/>
      <c r="K1208" s="159"/>
      <c r="L1208" s="159"/>
      <c r="M1208" s="159"/>
    </row>
    <row r="1209" spans="2:13">
      <c r="B1209" s="399"/>
      <c r="C1209" s="159"/>
      <c r="D1209" s="159"/>
      <c r="E1209" s="159"/>
      <c r="F1209" s="159"/>
      <c r="G1209" s="159"/>
      <c r="H1209" s="159"/>
      <c r="I1209" s="159"/>
      <c r="J1209" s="159"/>
      <c r="K1209" s="159"/>
      <c r="L1209" s="159"/>
      <c r="M1209" s="159"/>
    </row>
    <row r="1210" spans="2:13">
      <c r="B1210" s="399"/>
      <c r="C1210" s="159"/>
      <c r="D1210" s="159"/>
      <c r="E1210" s="159"/>
      <c r="F1210" s="159"/>
      <c r="G1210" s="159"/>
      <c r="H1210" s="159"/>
      <c r="I1210" s="159"/>
      <c r="J1210" s="159"/>
      <c r="K1210" s="159"/>
      <c r="L1210" s="159"/>
      <c r="M1210" s="159"/>
    </row>
    <row r="1211" spans="2:13">
      <c r="B1211" s="399"/>
      <c r="C1211" s="159"/>
      <c r="D1211" s="159"/>
      <c r="E1211" s="159"/>
      <c r="F1211" s="159"/>
      <c r="G1211" s="159"/>
      <c r="H1211" s="159"/>
      <c r="I1211" s="159"/>
      <c r="J1211" s="159"/>
      <c r="K1211" s="159"/>
      <c r="L1211" s="159"/>
      <c r="M1211" s="159"/>
    </row>
    <row r="1212" spans="2:13">
      <c r="B1212" s="399"/>
      <c r="C1212" s="159"/>
      <c r="D1212" s="159"/>
      <c r="E1212" s="159"/>
      <c r="F1212" s="159"/>
      <c r="G1212" s="159"/>
      <c r="H1212" s="159"/>
      <c r="I1212" s="159"/>
      <c r="J1212" s="159"/>
      <c r="K1212" s="159"/>
      <c r="L1212" s="159"/>
      <c r="M1212" s="159"/>
    </row>
    <row r="1213" spans="2:13">
      <c r="B1213" s="399"/>
      <c r="C1213" s="159"/>
      <c r="D1213" s="159"/>
      <c r="E1213" s="159"/>
      <c r="F1213" s="159"/>
      <c r="G1213" s="159"/>
      <c r="H1213" s="159"/>
      <c r="I1213" s="159"/>
      <c r="J1213" s="159"/>
      <c r="K1213" s="159"/>
      <c r="L1213" s="159"/>
      <c r="M1213" s="159"/>
    </row>
    <row r="1214" spans="2:13">
      <c r="B1214" s="399"/>
      <c r="C1214" s="159"/>
      <c r="D1214" s="159"/>
      <c r="E1214" s="159"/>
      <c r="F1214" s="159"/>
      <c r="G1214" s="159"/>
      <c r="H1214" s="159"/>
      <c r="I1214" s="159"/>
      <c r="J1214" s="159"/>
      <c r="K1214" s="159"/>
      <c r="L1214" s="159"/>
      <c r="M1214" s="159"/>
    </row>
    <row r="1215" spans="2:13">
      <c r="B1215" s="399"/>
      <c r="C1215" s="159"/>
      <c r="D1215" s="159"/>
      <c r="E1215" s="159"/>
      <c r="F1215" s="159"/>
      <c r="G1215" s="159"/>
      <c r="H1215" s="159"/>
      <c r="I1215" s="159"/>
      <c r="J1215" s="159"/>
      <c r="K1215" s="159"/>
      <c r="L1215" s="159"/>
      <c r="M1215" s="159"/>
    </row>
    <row r="1216" spans="2:13">
      <c r="B1216" s="399"/>
      <c r="C1216" s="159"/>
      <c r="D1216" s="159"/>
      <c r="E1216" s="159"/>
      <c r="F1216" s="159"/>
      <c r="G1216" s="159"/>
      <c r="H1216" s="159"/>
      <c r="I1216" s="159"/>
      <c r="J1216" s="159"/>
      <c r="K1216" s="159"/>
      <c r="L1216" s="159"/>
      <c r="M1216" s="159"/>
    </row>
    <row r="1217" spans="2:13">
      <c r="B1217" s="399"/>
      <c r="C1217" s="159"/>
      <c r="D1217" s="159"/>
      <c r="E1217" s="159"/>
      <c r="F1217" s="159"/>
      <c r="G1217" s="159"/>
      <c r="H1217" s="159"/>
      <c r="I1217" s="159"/>
      <c r="J1217" s="159"/>
      <c r="K1217" s="159"/>
      <c r="L1217" s="159"/>
      <c r="M1217" s="159"/>
    </row>
    <row r="1218" spans="2:13">
      <c r="B1218" s="399"/>
      <c r="C1218" s="159"/>
      <c r="D1218" s="159"/>
      <c r="E1218" s="159"/>
      <c r="F1218" s="159"/>
      <c r="G1218" s="159"/>
      <c r="H1218" s="159"/>
      <c r="I1218" s="159"/>
      <c r="J1218" s="159"/>
      <c r="K1218" s="159"/>
      <c r="L1218" s="159"/>
      <c r="M1218" s="159"/>
    </row>
    <row r="1219" spans="2:13">
      <c r="B1219" s="399"/>
      <c r="C1219" s="159"/>
      <c r="D1219" s="159"/>
      <c r="E1219" s="159"/>
      <c r="F1219" s="159"/>
      <c r="G1219" s="159"/>
      <c r="H1219" s="159"/>
      <c r="I1219" s="159"/>
      <c r="J1219" s="159"/>
      <c r="K1219" s="159"/>
      <c r="L1219" s="159"/>
      <c r="M1219" s="159"/>
    </row>
    <row r="1220" spans="2:13">
      <c r="B1220" s="399"/>
      <c r="C1220" s="159"/>
      <c r="D1220" s="159"/>
      <c r="E1220" s="159"/>
      <c r="F1220" s="159"/>
      <c r="G1220" s="159"/>
      <c r="H1220" s="159"/>
      <c r="I1220" s="159"/>
      <c r="J1220" s="159"/>
      <c r="K1220" s="159"/>
      <c r="L1220" s="159"/>
      <c r="M1220" s="159"/>
    </row>
    <row r="1221" spans="2:13">
      <c r="B1221" s="399"/>
      <c r="C1221" s="159"/>
      <c r="D1221" s="159"/>
      <c r="E1221" s="159"/>
      <c r="F1221" s="159"/>
      <c r="G1221" s="159"/>
      <c r="H1221" s="159"/>
      <c r="I1221" s="159"/>
      <c r="J1221" s="159"/>
      <c r="K1221" s="159"/>
      <c r="L1221" s="159"/>
      <c r="M1221" s="159"/>
    </row>
    <row r="1222" spans="2:13">
      <c r="B1222" s="399"/>
      <c r="C1222" s="159"/>
      <c r="D1222" s="159"/>
      <c r="E1222" s="159"/>
      <c r="F1222" s="159"/>
      <c r="G1222" s="159"/>
      <c r="H1222" s="159"/>
      <c r="I1222" s="159"/>
      <c r="J1222" s="159"/>
      <c r="K1222" s="159"/>
      <c r="L1222" s="159"/>
      <c r="M1222" s="159"/>
    </row>
    <row r="1223" spans="2:13">
      <c r="B1223" s="399"/>
      <c r="C1223" s="159"/>
      <c r="D1223" s="159"/>
      <c r="E1223" s="159"/>
      <c r="F1223" s="159"/>
      <c r="G1223" s="159"/>
      <c r="H1223" s="159"/>
      <c r="I1223" s="159"/>
      <c r="J1223" s="159"/>
      <c r="K1223" s="159"/>
      <c r="L1223" s="159"/>
      <c r="M1223" s="159"/>
    </row>
    <row r="1224" spans="2:13">
      <c r="B1224" s="399"/>
      <c r="C1224" s="159"/>
      <c r="D1224" s="159"/>
      <c r="E1224" s="159"/>
      <c r="F1224" s="159"/>
      <c r="G1224" s="159"/>
      <c r="H1224" s="159"/>
      <c r="I1224" s="159"/>
      <c r="J1224" s="159"/>
      <c r="K1224" s="159"/>
      <c r="L1224" s="159"/>
      <c r="M1224" s="159"/>
    </row>
    <row r="1225" spans="2:13">
      <c r="B1225" s="399"/>
      <c r="C1225" s="159"/>
      <c r="D1225" s="159"/>
      <c r="E1225" s="159"/>
      <c r="F1225" s="159"/>
      <c r="G1225" s="159"/>
      <c r="H1225" s="159"/>
      <c r="I1225" s="159"/>
      <c r="J1225" s="159"/>
      <c r="K1225" s="159"/>
      <c r="L1225" s="159"/>
      <c r="M1225" s="159"/>
    </row>
    <row r="1226" spans="2:13">
      <c r="B1226" s="399"/>
      <c r="C1226" s="159"/>
      <c r="D1226" s="159"/>
      <c r="E1226" s="159"/>
      <c r="F1226" s="159"/>
      <c r="G1226" s="159"/>
      <c r="H1226" s="159"/>
      <c r="I1226" s="159"/>
      <c r="J1226" s="159"/>
      <c r="K1226" s="159"/>
      <c r="L1226" s="159"/>
      <c r="M1226" s="159"/>
    </row>
    <row r="1227" spans="2:13">
      <c r="B1227" s="399"/>
      <c r="C1227" s="159"/>
      <c r="D1227" s="159"/>
      <c r="E1227" s="159"/>
      <c r="F1227" s="159"/>
      <c r="G1227" s="159"/>
      <c r="H1227" s="159"/>
      <c r="I1227" s="159"/>
      <c r="J1227" s="159"/>
      <c r="K1227" s="159"/>
      <c r="L1227" s="159"/>
      <c r="M1227" s="159"/>
    </row>
    <row r="1228" spans="2:13">
      <c r="I1228" s="159"/>
      <c r="J1228" s="159"/>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O151"/>
  <sheetViews>
    <sheetView zoomScaleNormal="100" workbookViewId="0">
      <selection activeCell="K34" sqref="K34"/>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992" t="s">
        <v>408</v>
      </c>
    </row>
    <row r="2" spans="1:22" ht="15.75">
      <c r="A2" s="992" t="s">
        <v>408</v>
      </c>
    </row>
    <row r="3" spans="1:22">
      <c r="A3" s="1484" t="str">
        <f>TCOS!$F$5</f>
        <v>AEPTCo subsidiaries in PJM</v>
      </c>
      <c r="B3" s="1484" t="str">
        <f>TCOS!$F$5</f>
        <v>AEPTCo subsidiaries in PJM</v>
      </c>
      <c r="C3" s="1484" t="str">
        <f>TCOS!$F$5</f>
        <v>AEPTCo subsidiaries in PJM</v>
      </c>
      <c r="D3" s="1484" t="str">
        <f>TCOS!$F$5</f>
        <v>AEPTCo subsidiaries in PJM</v>
      </c>
      <c r="E3" s="1484" t="str">
        <f>TCOS!$F$5</f>
        <v>AEPTCo subsidiaries in PJM</v>
      </c>
      <c r="F3" s="1484" t="str">
        <f>TCOS!$F$5</f>
        <v>AEPTCo subsidiaries in PJM</v>
      </c>
      <c r="G3" s="1484" t="str">
        <f>TCOS!$F$5</f>
        <v>AEPTCo subsidiaries in PJM</v>
      </c>
      <c r="H3" s="1484" t="str">
        <f>TCOS!$F$5</f>
        <v>AEPTCo subsidiaries in PJM</v>
      </c>
      <c r="I3" s="1484" t="str">
        <f>TCOS!$F$5</f>
        <v>AEPTCo subsidiaries in PJM</v>
      </c>
      <c r="J3" s="1484" t="str">
        <f>TCOS!$F$5</f>
        <v>AEPTCo subsidiaries in PJM</v>
      </c>
      <c r="K3" s="1484" t="str">
        <f>TCOS!$F$5</f>
        <v>AEPTCo subsidiaries in PJM</v>
      </c>
      <c r="L3" s="421"/>
      <c r="M3" s="421"/>
      <c r="N3" s="421"/>
      <c r="O3" s="421"/>
    </row>
    <row r="4" spans="1:22">
      <c r="A4" s="1512" t="str">
        <f>"Cost of Service Formula Rate Using Actual/Projected FF1 Balances"</f>
        <v>Cost of Service Formula Rate Using Actual/Projected FF1 Balances</v>
      </c>
      <c r="B4" s="1512"/>
      <c r="C4" s="1512"/>
      <c r="D4" s="1512"/>
      <c r="E4" s="1512"/>
      <c r="F4" s="1512"/>
      <c r="G4" s="1512"/>
      <c r="H4" s="1512"/>
      <c r="I4" s="1512"/>
      <c r="J4" s="1512"/>
      <c r="K4" s="1512"/>
      <c r="L4" s="441"/>
      <c r="M4" s="441"/>
      <c r="N4" s="441"/>
      <c r="O4" s="441"/>
    </row>
    <row r="5" spans="1:22">
      <c r="A5" s="1512" t="s">
        <v>22</v>
      </c>
      <c r="B5" s="1512"/>
      <c r="C5" s="1512"/>
      <c r="D5" s="1512"/>
      <c r="E5" s="1512"/>
      <c r="F5" s="1512"/>
      <c r="G5" s="1512"/>
      <c r="H5" s="1512"/>
      <c r="I5" s="1512"/>
      <c r="J5" s="1512"/>
      <c r="K5" s="1512"/>
      <c r="L5" s="423"/>
      <c r="M5" s="423"/>
      <c r="N5" s="423"/>
      <c r="O5" s="423"/>
    </row>
    <row r="6" spans="1:22">
      <c r="A6" s="1513" t="str">
        <f>TCOS!F9</f>
        <v>AEP Ohio Transmission Company</v>
      </c>
      <c r="B6" s="1513"/>
      <c r="C6" s="1513"/>
      <c r="D6" s="1513"/>
      <c r="E6" s="1513"/>
      <c r="F6" s="1513"/>
      <c r="G6" s="1513"/>
      <c r="H6" s="1513"/>
      <c r="I6" s="1513"/>
      <c r="J6" s="1513"/>
      <c r="K6" s="1513"/>
      <c r="L6" s="168"/>
      <c r="M6" s="168"/>
      <c r="N6" s="168"/>
      <c r="O6" s="168"/>
    </row>
    <row r="7" spans="1:22">
      <c r="A7" s="519"/>
      <c r="B7" s="519"/>
      <c r="C7" s="519"/>
      <c r="D7" s="519"/>
      <c r="E7" s="519"/>
      <c r="F7" s="519"/>
      <c r="G7" s="519"/>
      <c r="H7" s="519"/>
      <c r="I7" s="519"/>
      <c r="J7" s="519"/>
      <c r="K7" s="519"/>
      <c r="L7" s="519"/>
      <c r="M7" s="519"/>
      <c r="N7" s="519"/>
      <c r="O7" s="519"/>
    </row>
    <row r="8" spans="1:22" ht="18">
      <c r="A8" s="1524"/>
      <c r="B8" s="1524"/>
      <c r="C8" s="1524"/>
      <c r="D8" s="1524"/>
      <c r="E8" s="1524"/>
      <c r="F8" s="1524"/>
      <c r="G8" s="1524"/>
      <c r="H8" s="1524"/>
      <c r="I8" s="1524"/>
      <c r="J8" s="1524"/>
      <c r="K8" s="1524"/>
      <c r="L8" s="521"/>
      <c r="M8" s="522"/>
    </row>
    <row r="9" spans="1:22" ht="18">
      <c r="A9" s="520"/>
      <c r="B9" s="520"/>
      <c r="C9" s="520"/>
      <c r="D9" s="520"/>
      <c r="E9" s="520"/>
      <c r="F9" s="520"/>
      <c r="G9" s="520"/>
      <c r="H9" s="520"/>
      <c r="I9" s="520"/>
      <c r="J9" s="520"/>
      <c r="K9" s="520"/>
      <c r="L9" s="521"/>
      <c r="M9" s="522"/>
    </row>
    <row r="10" spans="1:22" ht="15.75">
      <c r="A10" s="523" t="s">
        <v>461</v>
      </c>
      <c r="B10" s="521"/>
      <c r="C10" s="524"/>
      <c r="D10" s="524"/>
      <c r="E10" s="524"/>
      <c r="F10" s="524"/>
      <c r="G10" s="525"/>
      <c r="H10" s="525"/>
      <c r="I10" s="523" t="s">
        <v>474</v>
      </c>
      <c r="J10" s="523" t="s">
        <v>357</v>
      </c>
      <c r="K10" s="526"/>
      <c r="N10" s="527"/>
      <c r="P10" s="527"/>
      <c r="R10" s="527"/>
      <c r="S10" s="527"/>
      <c r="T10" s="527"/>
      <c r="U10" s="394"/>
      <c r="V10" s="394"/>
    </row>
    <row r="11" spans="1:22" ht="15.75">
      <c r="A11" s="523" t="s">
        <v>399</v>
      </c>
      <c r="B11" s="1525" t="s">
        <v>459</v>
      </c>
      <c r="C11" s="1525"/>
      <c r="D11" s="1525"/>
      <c r="E11" s="1525"/>
      <c r="F11" s="1525"/>
      <c r="G11" s="1525"/>
      <c r="H11" s="1525"/>
      <c r="I11" s="528" t="s">
        <v>475</v>
      </c>
      <c r="J11" s="528" t="s">
        <v>409</v>
      </c>
      <c r="K11" s="528" t="s">
        <v>409</v>
      </c>
      <c r="N11" s="527"/>
      <c r="O11" s="527"/>
      <c r="P11" s="527"/>
      <c r="Q11" s="527"/>
      <c r="R11" s="527"/>
      <c r="S11" s="527"/>
      <c r="T11" s="529"/>
      <c r="U11" s="394"/>
      <c r="V11" s="394"/>
    </row>
    <row r="12" spans="1:22" ht="15.75">
      <c r="A12" s="525"/>
      <c r="B12" s="530"/>
      <c r="C12" s="521"/>
      <c r="D12" s="525"/>
      <c r="E12" s="525"/>
      <c r="F12" s="525"/>
      <c r="G12" s="525"/>
      <c r="H12" s="525"/>
      <c r="I12" s="525"/>
      <c r="J12" s="525"/>
      <c r="K12" s="531"/>
      <c r="N12" s="527"/>
      <c r="O12" s="527"/>
      <c r="P12" s="527"/>
      <c r="Q12" s="527"/>
      <c r="R12" s="527"/>
      <c r="S12" s="527"/>
      <c r="T12" s="529"/>
      <c r="U12" s="394"/>
      <c r="V12" s="394"/>
    </row>
    <row r="13" spans="1:22" s="534" customFormat="1" ht="12.75">
      <c r="A13" s="532">
        <v>1</v>
      </c>
      <c r="B13" s="533" t="s">
        <v>9</v>
      </c>
      <c r="D13" s="535"/>
      <c r="E13" s="535"/>
      <c r="F13" s="536"/>
      <c r="G13" s="535"/>
      <c r="H13" s="535"/>
      <c r="I13" s="558"/>
      <c r="J13" s="537">
        <f>+I13-K13</f>
        <v>0</v>
      </c>
      <c r="K13" s="558"/>
      <c r="N13" s="313"/>
      <c r="O13" s="313"/>
      <c r="P13" s="313"/>
      <c r="Q13" s="313"/>
      <c r="R13" s="313"/>
      <c r="S13" s="313"/>
      <c r="T13" s="538"/>
      <c r="U13" s="313"/>
      <c r="V13" s="313"/>
    </row>
    <row r="14" spans="1:22" s="534" customFormat="1" ht="12.75">
      <c r="A14" s="532"/>
      <c r="B14" s="533"/>
      <c r="D14" s="535"/>
      <c r="E14" s="535"/>
      <c r="F14" s="536"/>
      <c r="G14" s="535"/>
      <c r="H14" s="535"/>
      <c r="I14" s="539"/>
      <c r="J14" s="540"/>
      <c r="K14" s="540"/>
      <c r="N14" s="313"/>
      <c r="O14" s="313"/>
      <c r="P14" s="313"/>
      <c r="Q14" s="313"/>
      <c r="R14" s="313"/>
      <c r="S14" s="313"/>
      <c r="T14" s="538"/>
      <c r="U14" s="313"/>
      <c r="V14" s="313"/>
    </row>
    <row r="15" spans="1:22" s="534" customFormat="1" ht="12.75">
      <c r="A15" s="532">
        <f>+A13+1</f>
        <v>2</v>
      </c>
      <c r="B15" s="541" t="s">
        <v>10</v>
      </c>
      <c r="D15" s="535"/>
      <c r="E15" s="535"/>
      <c r="F15" s="536"/>
      <c r="G15" s="535"/>
      <c r="H15" s="536"/>
      <c r="I15" s="558"/>
      <c r="J15" s="537">
        <f>+I15-K15</f>
        <v>0</v>
      </c>
      <c r="K15" s="558"/>
      <c r="N15" s="313"/>
      <c r="O15" s="313"/>
      <c r="P15" s="313"/>
      <c r="Q15" s="313"/>
      <c r="R15" s="313"/>
      <c r="S15" s="313"/>
      <c r="T15" s="313"/>
      <c r="U15" s="313"/>
      <c r="V15" s="313"/>
    </row>
    <row r="16" spans="1:22" s="534" customFormat="1" ht="12.75">
      <c r="A16" s="532"/>
      <c r="B16" s="541"/>
      <c r="D16" s="535"/>
      <c r="E16" s="535"/>
      <c r="F16" s="536"/>
      <c r="G16" s="535"/>
      <c r="H16" s="536"/>
      <c r="I16" s="540"/>
      <c r="J16" s="540"/>
      <c r="K16" s="542"/>
      <c r="N16" s="313"/>
      <c r="O16" s="313"/>
      <c r="P16" s="313"/>
      <c r="Q16" s="313"/>
      <c r="R16" s="313"/>
      <c r="S16" s="313"/>
      <c r="T16" s="313"/>
      <c r="U16" s="313"/>
      <c r="V16" s="313"/>
    </row>
    <row r="17" spans="1:22" s="534" customFormat="1" ht="12.75">
      <c r="A17" s="532">
        <f>+A15+1</f>
        <v>3</v>
      </c>
      <c r="B17" s="541" t="s">
        <v>11</v>
      </c>
      <c r="D17" s="535"/>
      <c r="E17" s="535"/>
      <c r="F17" s="536"/>
      <c r="G17" s="535"/>
      <c r="H17" s="535"/>
      <c r="I17" s="558">
        <v>10759062.550000001</v>
      </c>
      <c r="J17" s="537">
        <f>+I17-K17</f>
        <v>0</v>
      </c>
      <c r="K17" s="558">
        <f>I17</f>
        <v>10759062.550000001</v>
      </c>
      <c r="N17" s="313"/>
      <c r="O17" s="313"/>
      <c r="P17" s="313"/>
      <c r="Q17" s="313"/>
      <c r="R17" s="313"/>
      <c r="S17" s="313"/>
      <c r="T17" s="313"/>
      <c r="U17" s="313"/>
      <c r="V17" s="313"/>
    </row>
    <row r="18" spans="1:22" s="534" customFormat="1" ht="12.75">
      <c r="A18" s="532"/>
      <c r="B18" s="536"/>
      <c r="D18" s="535"/>
      <c r="E18" s="535"/>
      <c r="F18" s="536"/>
      <c r="G18" s="542"/>
      <c r="H18" s="536"/>
      <c r="I18" s="540"/>
      <c r="J18" s="540"/>
      <c r="K18" s="540"/>
      <c r="N18" s="313"/>
      <c r="O18" s="313"/>
      <c r="P18" s="313"/>
      <c r="Q18" s="313"/>
      <c r="R18" s="313"/>
      <c r="S18" s="313"/>
      <c r="T18" s="313"/>
      <c r="U18" s="313"/>
      <c r="V18" s="313"/>
    </row>
    <row r="19" spans="1:22" s="534" customFormat="1" ht="12.75">
      <c r="A19" s="988">
        <v>4</v>
      </c>
      <c r="B19" s="1233" t="s">
        <v>765</v>
      </c>
      <c r="C19" s="347"/>
      <c r="D19" s="1234"/>
      <c r="E19" s="1234"/>
      <c r="F19" s="1234"/>
      <c r="G19" s="989"/>
      <c r="H19" s="1234"/>
      <c r="I19" s="558">
        <v>0</v>
      </c>
      <c r="J19" s="537">
        <f>+I19-K19</f>
        <v>0</v>
      </c>
      <c r="K19" s="558"/>
      <c r="N19" s="544"/>
      <c r="O19" s="313"/>
      <c r="P19" s="313"/>
      <c r="Q19" s="313"/>
      <c r="R19" s="313"/>
      <c r="S19" s="313"/>
      <c r="T19" s="313"/>
      <c r="U19" s="313"/>
      <c r="V19" s="313"/>
    </row>
    <row r="20" spans="1:22" s="534" customFormat="1" ht="12.75">
      <c r="A20" s="988"/>
      <c r="B20" s="1233"/>
      <c r="C20" s="347"/>
      <c r="D20" s="1234"/>
      <c r="E20" s="1234"/>
      <c r="F20" s="1234"/>
      <c r="G20" s="989"/>
      <c r="H20" s="1234"/>
      <c r="I20" s="313"/>
      <c r="J20" s="313"/>
      <c r="K20" s="313"/>
      <c r="L20" s="313"/>
      <c r="N20" s="544"/>
      <c r="O20" s="313"/>
      <c r="P20" s="313"/>
      <c r="Q20" s="313"/>
      <c r="R20" s="313"/>
      <c r="S20" s="313"/>
      <c r="T20" s="313"/>
      <c r="U20" s="313"/>
      <c r="V20" s="313"/>
    </row>
    <row r="21" spans="1:22" s="534" customFormat="1" ht="12.75">
      <c r="A21" s="988">
        <v>5</v>
      </c>
      <c r="B21" s="1233" t="s">
        <v>766</v>
      </c>
      <c r="C21" s="347"/>
      <c r="D21" s="1234"/>
      <c r="E21" s="1234"/>
      <c r="F21" s="1234"/>
      <c r="G21" s="989"/>
      <c r="H21" s="1234"/>
      <c r="I21" s="558">
        <v>834196576.09000003</v>
      </c>
      <c r="J21" s="537">
        <f>+I21-K21</f>
        <v>834196576.09000003</v>
      </c>
      <c r="K21" s="558"/>
      <c r="N21" s="544"/>
      <c r="O21" s="313"/>
      <c r="P21" s="313"/>
      <c r="Q21" s="313"/>
      <c r="R21" s="313"/>
      <c r="S21" s="313"/>
      <c r="T21" s="313"/>
      <c r="U21" s="313"/>
      <c r="V21" s="313"/>
    </row>
    <row r="22" spans="1:22" s="534" customFormat="1" ht="12.75">
      <c r="A22" s="988"/>
      <c r="B22" s="1233"/>
      <c r="C22" s="347"/>
      <c r="D22" s="1234"/>
      <c r="E22" s="1234"/>
      <c r="F22" s="1234"/>
      <c r="G22" s="989"/>
      <c r="H22" s="1234"/>
      <c r="I22" s="558"/>
      <c r="J22" s="537"/>
      <c r="K22" s="558"/>
      <c r="N22" s="544"/>
      <c r="O22" s="313"/>
      <c r="P22" s="313"/>
      <c r="Q22" s="313"/>
      <c r="R22" s="313"/>
      <c r="S22" s="313"/>
      <c r="T22" s="313"/>
      <c r="U22" s="313"/>
      <c r="V22" s="313"/>
    </row>
    <row r="23" spans="1:22" s="534" customFormat="1" ht="12.75">
      <c r="A23" s="988" t="s">
        <v>621</v>
      </c>
      <c r="B23" s="1233" t="s">
        <v>622</v>
      </c>
      <c r="C23" s="347"/>
      <c r="D23" s="1234"/>
      <c r="E23" s="1234"/>
      <c r="F23" s="1234"/>
      <c r="G23" s="989"/>
      <c r="H23" s="1234"/>
      <c r="I23" s="990"/>
      <c r="J23" s="991">
        <v>0</v>
      </c>
      <c r="K23" s="990"/>
      <c r="N23" s="544"/>
      <c r="O23" s="313"/>
      <c r="P23" s="313"/>
      <c r="Q23" s="313"/>
      <c r="R23" s="313"/>
      <c r="S23" s="313"/>
      <c r="T23" s="313"/>
      <c r="U23" s="313"/>
      <c r="V23" s="313"/>
    </row>
    <row r="24" spans="1:22" s="534" customFormat="1" ht="12.75">
      <c r="A24" s="988"/>
      <c r="B24" s="1233"/>
      <c r="C24" s="347"/>
      <c r="D24" s="1234"/>
      <c r="E24" s="1234"/>
      <c r="F24" s="1234"/>
      <c r="G24" s="989"/>
      <c r="H24" s="1234"/>
      <c r="I24" s="990"/>
      <c r="J24" s="991"/>
      <c r="K24" s="990"/>
      <c r="N24" s="544"/>
      <c r="O24" s="313"/>
      <c r="P24" s="313"/>
      <c r="Q24" s="313"/>
      <c r="R24" s="313"/>
      <c r="S24" s="313"/>
      <c r="T24" s="313"/>
      <c r="U24" s="313"/>
      <c r="V24" s="313"/>
    </row>
    <row r="25" spans="1:22" s="534" customFormat="1" ht="12.75">
      <c r="A25" s="988" t="s">
        <v>623</v>
      </c>
      <c r="B25" s="1233" t="s">
        <v>624</v>
      </c>
      <c r="C25" s="347"/>
      <c r="D25" s="1234"/>
      <c r="E25" s="1234"/>
      <c r="F25" s="1234"/>
      <c r="G25" s="989"/>
      <c r="H25" s="1234"/>
      <c r="I25" s="990"/>
      <c r="J25" s="991">
        <v>0</v>
      </c>
      <c r="K25" s="990"/>
      <c r="N25" s="544"/>
      <c r="O25" s="313"/>
      <c r="P25" s="313"/>
      <c r="Q25" s="313"/>
      <c r="R25" s="313"/>
      <c r="S25" s="313"/>
      <c r="T25" s="313"/>
      <c r="U25" s="313"/>
      <c r="V25" s="313"/>
    </row>
    <row r="26" spans="1:22" s="534" customFormat="1" ht="12.75">
      <c r="A26" s="532"/>
      <c r="B26" s="543"/>
      <c r="D26" s="535"/>
      <c r="E26" s="535"/>
      <c r="F26" s="536"/>
      <c r="G26" s="542"/>
      <c r="H26" s="536"/>
      <c r="I26" s="313"/>
      <c r="J26" s="313"/>
      <c r="K26" s="313"/>
      <c r="N26" s="313"/>
      <c r="O26" s="313"/>
      <c r="P26" s="313"/>
      <c r="Q26" s="313"/>
      <c r="R26" s="313"/>
      <c r="S26" s="313"/>
      <c r="T26" s="313"/>
      <c r="U26" s="313"/>
      <c r="V26" s="313"/>
    </row>
    <row r="27" spans="1:22" s="534" customFormat="1" ht="12.75">
      <c r="A27" s="532">
        <f>+A21+1</f>
        <v>6</v>
      </c>
      <c r="B27" s="543" t="s">
        <v>327</v>
      </c>
      <c r="D27" s="535"/>
      <c r="E27" s="535"/>
      <c r="F27" s="536"/>
      <c r="G27" s="542"/>
      <c r="H27" s="536"/>
      <c r="I27" s="546">
        <f>+I21+I19+I17+I15+I13+I23+I25</f>
        <v>844955638.63999999</v>
      </c>
      <c r="J27" s="546">
        <f>+J21+J19+J17+J15+J13+J23+J25</f>
        <v>834196576.09000003</v>
      </c>
      <c r="K27" s="546">
        <f>+K21+K19+K17+K15+K13+K23+K25</f>
        <v>10759062.550000001</v>
      </c>
      <c r="N27" s="313"/>
      <c r="O27" s="313"/>
      <c r="P27" s="313"/>
      <c r="Q27" s="313"/>
      <c r="R27" s="313"/>
      <c r="S27" s="313"/>
      <c r="T27" s="313"/>
      <c r="U27" s="313"/>
      <c r="V27" s="313"/>
    </row>
    <row r="28" spans="1:22" s="534" customFormat="1" ht="12.75">
      <c r="A28" s="532"/>
      <c r="B28" s="543"/>
      <c r="D28" s="535"/>
      <c r="E28" s="535"/>
      <c r="F28" s="536"/>
      <c r="G28" s="542"/>
      <c r="H28" s="536"/>
      <c r="I28" s="313"/>
      <c r="J28" s="313"/>
      <c r="K28" s="313"/>
      <c r="N28" s="313"/>
      <c r="O28" s="313"/>
      <c r="P28" s="313"/>
      <c r="Q28" s="313"/>
      <c r="R28" s="313"/>
      <c r="S28" s="313"/>
      <c r="T28" s="313"/>
      <c r="U28" s="313"/>
      <c r="V28" s="313"/>
    </row>
    <row r="29" spans="1:22" s="534" customFormat="1" ht="12.75">
      <c r="A29" s="532">
        <f>+A27+1</f>
        <v>7</v>
      </c>
      <c r="B29" s="1523" t="s">
        <v>12</v>
      </c>
      <c r="C29" s="1461"/>
      <c r="D29" s="1461"/>
      <c r="E29" s="1461"/>
      <c r="F29" s="1461"/>
      <c r="G29" s="1461"/>
      <c r="H29" s="540"/>
      <c r="I29" s="558"/>
      <c r="J29" s="537">
        <f>+I29-K29</f>
        <v>0</v>
      </c>
      <c r="K29" s="558"/>
      <c r="N29" s="313"/>
      <c r="O29" s="313"/>
      <c r="P29" s="313"/>
      <c r="Q29" s="313"/>
      <c r="R29" s="313"/>
      <c r="S29" s="313"/>
      <c r="T29" s="313"/>
      <c r="U29" s="313"/>
      <c r="V29" s="313"/>
    </row>
    <row r="30" spans="1:22" s="534" customFormat="1" ht="12.75">
      <c r="A30" s="532"/>
      <c r="B30" s="1461"/>
      <c r="C30" s="1461"/>
      <c r="D30" s="1461"/>
      <c r="E30" s="1461"/>
      <c r="F30" s="1461"/>
      <c r="G30" s="1461"/>
      <c r="H30" s="536"/>
      <c r="I30" s="545"/>
      <c r="J30" s="536"/>
      <c r="K30" s="547"/>
      <c r="N30" s="313"/>
      <c r="O30" s="313"/>
      <c r="P30" s="313"/>
      <c r="Q30" s="313"/>
      <c r="R30" s="313"/>
      <c r="S30" s="313"/>
      <c r="T30" s="313"/>
      <c r="U30" s="313"/>
      <c r="V30" s="313"/>
    </row>
    <row r="31" spans="1:22" s="534" customFormat="1" ht="12.75">
      <c r="A31" s="532">
        <f>+A29+1</f>
        <v>8</v>
      </c>
      <c r="B31" s="548" t="s">
        <v>499</v>
      </c>
      <c r="D31" s="535"/>
      <c r="E31" s="535"/>
      <c r="F31" s="536"/>
      <c r="G31" s="542"/>
      <c r="H31" s="536"/>
      <c r="I31" s="549">
        <f>+I27+I29</f>
        <v>844955638.63999999</v>
      </c>
      <c r="J31" s="549">
        <f>+J27+J29</f>
        <v>834196576.09000003</v>
      </c>
      <c r="K31" s="549">
        <f>+K27+K29</f>
        <v>10759062.550000001</v>
      </c>
      <c r="N31" s="313"/>
      <c r="O31" s="313"/>
      <c r="P31" s="313"/>
      <c r="Q31" s="313"/>
      <c r="R31" s="313"/>
      <c r="S31" s="313"/>
      <c r="T31" s="313"/>
      <c r="U31" s="313"/>
      <c r="V31" s="313"/>
    </row>
    <row r="32" spans="1:22" s="534" customFormat="1" ht="12.75">
      <c r="A32" s="532"/>
      <c r="B32" s="548"/>
      <c r="D32" s="535"/>
      <c r="E32" s="535"/>
      <c r="F32" s="536"/>
      <c r="G32" s="542"/>
      <c r="H32" s="536"/>
      <c r="I32" s="547"/>
      <c r="J32" s="547"/>
      <c r="K32" s="547"/>
      <c r="N32" s="313"/>
      <c r="O32" s="313"/>
      <c r="P32" s="313"/>
      <c r="Q32" s="313"/>
      <c r="R32" s="313"/>
      <c r="S32" s="313"/>
      <c r="T32" s="313"/>
      <c r="U32" s="313"/>
      <c r="V32" s="313"/>
    </row>
    <row r="33" spans="1:41" s="534" customFormat="1" ht="12.75">
      <c r="A33" s="532">
        <v>9</v>
      </c>
      <c r="B33" s="541" t="s">
        <v>549</v>
      </c>
      <c r="D33" s="535"/>
      <c r="E33" s="535"/>
      <c r="F33" s="536"/>
      <c r="G33" s="542"/>
      <c r="H33" s="536"/>
      <c r="I33" s="547"/>
      <c r="J33" s="547"/>
      <c r="K33" s="558">
        <v>5663846</v>
      </c>
      <c r="N33" s="313"/>
      <c r="O33" s="313"/>
      <c r="P33" s="313"/>
      <c r="Q33" s="313"/>
      <c r="R33" s="313"/>
      <c r="S33" s="313"/>
      <c r="T33" s="313"/>
      <c r="U33" s="313"/>
      <c r="V33" s="313"/>
    </row>
    <row r="34" spans="1:41" s="534" customFormat="1" ht="12.75">
      <c r="A34" s="532"/>
      <c r="B34" s="548"/>
      <c r="D34" s="535"/>
      <c r="E34" s="535"/>
      <c r="F34" s="536"/>
      <c r="G34" s="542"/>
      <c r="H34" s="536"/>
      <c r="I34" s="547"/>
      <c r="J34" s="547"/>
      <c r="K34" s="547"/>
      <c r="N34" s="313"/>
      <c r="O34" s="313"/>
      <c r="P34" s="313"/>
      <c r="Q34" s="313"/>
      <c r="R34" s="313"/>
      <c r="S34" s="313"/>
      <c r="T34" s="313"/>
      <c r="U34" s="313"/>
      <c r="V34" s="313"/>
    </row>
    <row r="35" spans="1:41" ht="15.75">
      <c r="A35" s="550"/>
      <c r="C35" s="530"/>
      <c r="D35" s="521"/>
      <c r="E35" s="521"/>
      <c r="F35" s="525"/>
      <c r="G35" s="551"/>
      <c r="H35" s="525"/>
      <c r="I35" s="552"/>
      <c r="J35" s="525"/>
      <c r="K35" s="525"/>
      <c r="L35" s="525"/>
      <c r="M35" s="553"/>
      <c r="N35" s="394"/>
      <c r="O35" s="524"/>
      <c r="P35" s="524"/>
      <c r="Q35" s="524"/>
      <c r="R35" s="524"/>
      <c r="S35" s="394"/>
      <c r="T35" s="394"/>
      <c r="U35" s="394"/>
      <c r="V35" s="394"/>
    </row>
    <row r="36" spans="1:41" s="534" customFormat="1" ht="12.75" customHeight="1">
      <c r="A36" s="208" t="s">
        <v>287</v>
      </c>
      <c r="B36" s="152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Ohio Transmission Company's general ledger. The functional amounts identified as transmission revenue also come from the general ledger. </v>
      </c>
      <c r="C36" s="1522"/>
      <c r="D36" s="1522"/>
      <c r="E36" s="1522"/>
      <c r="F36" s="1522"/>
      <c r="G36" s="1522"/>
      <c r="H36" s="1522"/>
      <c r="I36" s="1522"/>
      <c r="J36" s="1522"/>
      <c r="K36" s="313"/>
      <c r="L36" s="313"/>
      <c r="M36" s="313"/>
      <c r="N36" s="313"/>
      <c r="O36" s="313"/>
      <c r="P36" s="313"/>
      <c r="Q36" s="313"/>
      <c r="R36" s="313"/>
      <c r="S36" s="313"/>
      <c r="T36" s="538"/>
      <c r="U36" s="313"/>
      <c r="V36" s="313"/>
    </row>
    <row r="37" spans="1:41" s="534" customFormat="1" ht="12.75">
      <c r="A37" s="313"/>
      <c r="B37" s="1522"/>
      <c r="C37" s="1522"/>
      <c r="D37" s="1522"/>
      <c r="E37" s="1522"/>
      <c r="F37" s="1522"/>
      <c r="G37" s="1522"/>
      <c r="H37" s="1522"/>
      <c r="I37" s="1522"/>
      <c r="J37" s="1522"/>
      <c r="K37" s="313"/>
      <c r="L37" s="347"/>
      <c r="M37" s="554"/>
      <c r="N37" s="554"/>
      <c r="O37" s="554"/>
      <c r="P37" s="554"/>
      <c r="Q37" s="554"/>
      <c r="R37" s="347"/>
      <c r="S37" s="347"/>
      <c r="T37" s="347"/>
      <c r="U37" s="347"/>
      <c r="V37" s="347"/>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7" t="s">
        <v>625</v>
      </c>
      <c r="B38" s="1235" t="s">
        <v>626</v>
      </c>
      <c r="C38" s="1058"/>
      <c r="D38" s="1058"/>
      <c r="E38" s="1058"/>
      <c r="F38" s="1058"/>
      <c r="G38" s="1058"/>
      <c r="H38" s="1058"/>
      <c r="I38" s="1058"/>
      <c r="J38" s="987"/>
      <c r="K38" s="554"/>
      <c r="L38" s="347"/>
      <c r="M38" s="554"/>
      <c r="N38" s="554"/>
      <c r="O38" s="554"/>
      <c r="P38" s="554"/>
      <c r="Q38" s="554"/>
      <c r="R38" s="347"/>
      <c r="S38" s="347"/>
      <c r="T38" s="347"/>
      <c r="U38" s="347"/>
      <c r="V38" s="347"/>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4"/>
      <c r="B39" s="393"/>
      <c r="E39" s="556"/>
      <c r="F39" s="556"/>
      <c r="G39" s="556"/>
      <c r="H39" s="556"/>
      <c r="I39" s="556"/>
      <c r="J39" s="556"/>
      <c r="K39" s="556"/>
      <c r="L39" s="393"/>
      <c r="M39" s="556"/>
      <c r="N39" s="556"/>
      <c r="O39" s="556"/>
      <c r="P39" s="556"/>
      <c r="Q39" s="556"/>
      <c r="R39" s="393"/>
      <c r="S39" s="393"/>
      <c r="T39" s="393"/>
      <c r="U39" s="393"/>
      <c r="V39" s="393"/>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4"/>
      <c r="B40" s="393"/>
      <c r="E40" s="556"/>
      <c r="F40" s="556"/>
      <c r="G40" s="556"/>
      <c r="H40" s="556"/>
      <c r="I40" s="556"/>
      <c r="J40" s="556"/>
      <c r="K40" s="556"/>
      <c r="L40" s="393"/>
      <c r="M40" s="556"/>
      <c r="N40" s="556"/>
      <c r="O40" s="556"/>
      <c r="P40" s="556"/>
      <c r="Q40" s="556"/>
      <c r="R40" s="393"/>
      <c r="S40" s="393"/>
      <c r="T40" s="393"/>
      <c r="U40" s="393"/>
      <c r="V40" s="393"/>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4"/>
      <c r="B41" s="393"/>
      <c r="E41" s="556"/>
      <c r="F41" s="556"/>
      <c r="G41" s="556"/>
      <c r="H41" s="556"/>
      <c r="I41" s="556"/>
      <c r="J41" s="556"/>
      <c r="K41" s="556"/>
      <c r="L41" s="393"/>
      <c r="M41" s="556"/>
      <c r="N41" s="556"/>
      <c r="O41" s="556"/>
      <c r="P41" s="556"/>
      <c r="Q41" s="556"/>
      <c r="R41" s="393"/>
      <c r="S41" s="393"/>
      <c r="T41" s="393"/>
      <c r="U41" s="393"/>
      <c r="V41" s="393"/>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4"/>
      <c r="B42" s="393"/>
      <c r="E42" s="556"/>
      <c r="F42" s="556"/>
      <c r="G42" s="556"/>
      <c r="H42" s="556"/>
      <c r="I42" s="556"/>
      <c r="J42" s="556"/>
      <c r="K42" s="556"/>
      <c r="L42" s="393"/>
      <c r="M42" s="556"/>
      <c r="N42" s="556"/>
      <c r="O42" s="556"/>
      <c r="P42" s="556"/>
      <c r="Q42" s="556"/>
      <c r="R42" s="393"/>
      <c r="S42" s="393"/>
      <c r="T42" s="393"/>
      <c r="U42" s="393"/>
      <c r="V42" s="393"/>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4"/>
      <c r="B43" s="393"/>
      <c r="E43" s="556"/>
      <c r="F43" s="556"/>
      <c r="G43" s="556"/>
      <c r="H43" s="556"/>
      <c r="I43" s="556"/>
      <c r="J43" s="556"/>
      <c r="K43" s="556"/>
      <c r="L43" s="393"/>
      <c r="M43" s="556"/>
      <c r="N43" s="556"/>
      <c r="O43" s="556"/>
      <c r="P43" s="556"/>
      <c r="Q43" s="556"/>
      <c r="R43" s="393"/>
      <c r="S43" s="393"/>
      <c r="T43" s="393"/>
      <c r="U43" s="393"/>
      <c r="V43" s="393"/>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4"/>
      <c r="B44" s="393"/>
      <c r="E44" s="556"/>
      <c r="F44" s="556"/>
      <c r="G44" s="556"/>
      <c r="H44" s="556"/>
      <c r="I44" s="556"/>
      <c r="J44" s="556"/>
      <c r="K44" s="556"/>
      <c r="L44" s="393"/>
      <c r="M44" s="556"/>
      <c r="N44" s="556"/>
      <c r="O44" s="556"/>
      <c r="P44" s="556"/>
      <c r="Q44" s="556"/>
      <c r="R44" s="393"/>
      <c r="S44" s="393"/>
      <c r="T44" s="393"/>
      <c r="U44" s="393"/>
      <c r="V44" s="393"/>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4"/>
      <c r="B45" s="393"/>
      <c r="E45" s="556"/>
      <c r="F45" s="556"/>
      <c r="G45" s="556"/>
      <c r="H45" s="556"/>
      <c r="I45" s="556"/>
      <c r="J45" s="556"/>
      <c r="K45" s="556"/>
      <c r="L45" s="393"/>
      <c r="M45" s="556"/>
      <c r="N45" s="556"/>
      <c r="O45" s="556"/>
      <c r="P45" s="556"/>
      <c r="Q45" s="556"/>
      <c r="R45" s="393"/>
      <c r="S45" s="393"/>
      <c r="T45" s="393"/>
      <c r="U45" s="393"/>
      <c r="V45" s="393"/>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4"/>
      <c r="B46" s="393"/>
      <c r="E46" s="556"/>
      <c r="F46" s="556"/>
      <c r="G46" s="556"/>
      <c r="H46" s="556"/>
      <c r="I46" s="556"/>
      <c r="J46" s="556"/>
      <c r="K46" s="556"/>
      <c r="L46" s="393"/>
      <c r="M46" s="556"/>
      <c r="N46" s="556"/>
      <c r="O46" s="556"/>
      <c r="P46" s="556"/>
      <c r="Q46" s="556"/>
      <c r="R46" s="393"/>
      <c r="S46" s="393"/>
      <c r="T46" s="393"/>
      <c r="U46" s="393"/>
      <c r="V46" s="393"/>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4"/>
      <c r="B47" s="393"/>
      <c r="E47" s="556"/>
      <c r="F47" s="556"/>
      <c r="G47" s="556"/>
      <c r="H47" s="556"/>
      <c r="I47" s="556"/>
      <c r="J47" s="556"/>
      <c r="K47" s="556"/>
      <c r="L47" s="393"/>
      <c r="M47" s="556"/>
      <c r="N47" s="556"/>
      <c r="O47" s="556"/>
      <c r="P47" s="556"/>
      <c r="Q47" s="556"/>
      <c r="R47" s="393"/>
      <c r="S47" s="393"/>
      <c r="T47" s="393"/>
      <c r="U47" s="393"/>
      <c r="V47" s="393"/>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4"/>
      <c r="B48" s="393"/>
      <c r="E48" s="556"/>
      <c r="F48" s="556"/>
      <c r="G48" s="556"/>
      <c r="H48" s="556"/>
      <c r="I48" s="556"/>
      <c r="J48" s="556"/>
      <c r="K48" s="556"/>
      <c r="L48" s="393"/>
      <c r="M48" s="556"/>
      <c r="N48" s="556"/>
      <c r="O48" s="556"/>
      <c r="P48" s="556"/>
      <c r="Q48" s="556"/>
      <c r="R48" s="393"/>
      <c r="S48" s="393"/>
      <c r="T48" s="393"/>
      <c r="U48" s="393"/>
      <c r="V48" s="393"/>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3"/>
      <c r="M49" s="556"/>
      <c r="N49" s="556"/>
      <c r="O49" s="556"/>
      <c r="P49" s="556"/>
      <c r="Q49" s="556"/>
      <c r="R49" s="393"/>
      <c r="S49" s="393"/>
      <c r="T49" s="393"/>
      <c r="U49" s="393"/>
      <c r="V49" s="393"/>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4"/>
      <c r="B50" s="393"/>
      <c r="E50" s="556"/>
      <c r="F50" s="556"/>
      <c r="G50" s="556"/>
      <c r="H50" s="556"/>
      <c r="I50" s="556"/>
      <c r="J50" s="556"/>
      <c r="K50" s="556"/>
      <c r="L50" s="393"/>
      <c r="M50" s="556"/>
      <c r="N50" s="556"/>
      <c r="O50" s="556"/>
      <c r="P50" s="556"/>
      <c r="Q50" s="556"/>
      <c r="R50" s="393"/>
      <c r="S50" s="393"/>
      <c r="T50" s="393"/>
      <c r="U50" s="393"/>
      <c r="V50" s="393"/>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4"/>
      <c r="B51" s="393"/>
      <c r="E51" s="556"/>
      <c r="F51" s="556"/>
      <c r="G51" s="556"/>
      <c r="H51" s="556"/>
      <c r="I51" s="556"/>
      <c r="J51" s="556"/>
      <c r="K51" s="556"/>
      <c r="L51" s="393"/>
      <c r="M51" s="556"/>
      <c r="N51" s="556"/>
      <c r="O51" s="556"/>
      <c r="P51" s="556"/>
      <c r="Q51" s="556"/>
      <c r="R51" s="393"/>
      <c r="S51" s="393"/>
      <c r="T51" s="393"/>
      <c r="U51" s="393"/>
      <c r="V51" s="393"/>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4"/>
      <c r="B52" s="393"/>
      <c r="E52" s="556"/>
      <c r="F52" s="556"/>
      <c r="G52" s="556"/>
      <c r="H52" s="556"/>
      <c r="I52" s="556"/>
      <c r="J52" s="556"/>
      <c r="K52" s="556"/>
      <c r="L52" s="393"/>
      <c r="M52" s="556"/>
      <c r="N52" s="556"/>
      <c r="O52" s="556"/>
      <c r="P52" s="556"/>
      <c r="Q52" s="556"/>
      <c r="R52" s="393"/>
      <c r="S52" s="393"/>
      <c r="T52" s="393"/>
      <c r="U52" s="393"/>
      <c r="V52" s="393"/>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4"/>
      <c r="B53" s="393"/>
      <c r="E53" s="556"/>
      <c r="F53" s="556"/>
      <c r="G53" s="556"/>
      <c r="H53" s="556"/>
      <c r="I53" s="556"/>
      <c r="J53" s="556"/>
      <c r="K53" s="556"/>
      <c r="L53" s="393"/>
      <c r="M53" s="556"/>
      <c r="N53" s="556"/>
      <c r="O53" s="556"/>
      <c r="P53" s="556"/>
      <c r="Q53" s="556"/>
      <c r="R53" s="393"/>
      <c r="S53" s="393"/>
      <c r="T53" s="393"/>
      <c r="U53" s="393"/>
      <c r="V53" s="393"/>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4"/>
      <c r="B54" s="393"/>
      <c r="E54" s="556"/>
      <c r="F54" s="556"/>
      <c r="G54" s="556"/>
      <c r="H54" s="556"/>
      <c r="I54" s="556"/>
      <c r="J54" s="556"/>
      <c r="K54" s="556"/>
      <c r="L54" s="393"/>
      <c r="M54" s="556"/>
      <c r="N54" s="556"/>
      <c r="O54" s="556"/>
      <c r="P54" s="556"/>
      <c r="Q54" s="556"/>
      <c r="R54" s="393"/>
      <c r="S54" s="393"/>
      <c r="T54" s="393"/>
      <c r="U54" s="393"/>
      <c r="V54" s="393"/>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4"/>
      <c r="B55" s="393"/>
      <c r="E55" s="556"/>
      <c r="F55" s="556"/>
      <c r="G55" s="556"/>
      <c r="H55" s="556"/>
      <c r="I55" s="556"/>
      <c r="J55" s="556"/>
      <c r="K55" s="556"/>
      <c r="L55" s="393"/>
      <c r="M55" s="556"/>
      <c r="N55" s="556"/>
      <c r="O55" s="556"/>
      <c r="P55" s="556"/>
      <c r="Q55" s="556"/>
      <c r="R55" s="393"/>
      <c r="S55" s="393"/>
      <c r="T55" s="393"/>
      <c r="U55" s="393"/>
      <c r="V55" s="393"/>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4"/>
      <c r="B56" s="393"/>
      <c r="E56" s="556"/>
      <c r="F56" s="556"/>
      <c r="G56" s="556"/>
      <c r="H56" s="556"/>
      <c r="I56" s="556"/>
      <c r="J56" s="556"/>
      <c r="K56" s="556"/>
      <c r="L56" s="393"/>
      <c r="M56" s="556"/>
      <c r="N56" s="556"/>
      <c r="O56" s="556"/>
      <c r="P56" s="556"/>
      <c r="Q56" s="556"/>
      <c r="R56" s="393"/>
      <c r="S56" s="393"/>
      <c r="T56" s="393"/>
      <c r="U56" s="393"/>
      <c r="V56" s="393"/>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4"/>
      <c r="B57" s="393"/>
      <c r="E57" s="556"/>
      <c r="F57" s="556"/>
      <c r="G57" s="556"/>
      <c r="H57" s="556"/>
      <c r="I57" s="556"/>
      <c r="J57" s="556"/>
      <c r="K57" s="556"/>
      <c r="L57" s="393"/>
      <c r="M57" s="556"/>
      <c r="N57" s="556"/>
      <c r="O57" s="556"/>
      <c r="P57" s="556"/>
      <c r="Q57" s="556"/>
      <c r="R57" s="393"/>
      <c r="S57" s="393"/>
      <c r="T57" s="393"/>
      <c r="U57" s="393"/>
      <c r="V57" s="393"/>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4"/>
      <c r="B58" s="393"/>
      <c r="E58" s="556"/>
      <c r="F58" s="556"/>
      <c r="G58" s="556"/>
      <c r="H58" s="556"/>
      <c r="I58" s="556"/>
      <c r="J58" s="556"/>
      <c r="K58" s="556"/>
      <c r="L58" s="393"/>
      <c r="M58" s="556"/>
      <c r="N58" s="556"/>
      <c r="O58" s="556"/>
      <c r="P58" s="556"/>
      <c r="Q58" s="556"/>
      <c r="R58" s="393"/>
      <c r="S58" s="393"/>
      <c r="T58" s="393"/>
      <c r="U58" s="393"/>
      <c r="V58" s="393"/>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4"/>
      <c r="B59" s="393"/>
      <c r="E59" s="556"/>
      <c r="F59" s="556"/>
      <c r="G59" s="556"/>
      <c r="H59" s="556"/>
      <c r="I59" s="556"/>
      <c r="J59" s="556"/>
      <c r="K59" s="556"/>
      <c r="L59" s="393"/>
      <c r="M59" s="556"/>
      <c r="N59" s="556"/>
      <c r="O59" s="556"/>
      <c r="P59" s="556"/>
      <c r="Q59" s="556"/>
      <c r="R59" s="393"/>
      <c r="S59" s="393"/>
      <c r="T59" s="393"/>
      <c r="U59" s="393"/>
      <c r="V59" s="393"/>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4"/>
      <c r="B60" s="393"/>
      <c r="E60" s="556"/>
      <c r="F60" s="556"/>
      <c r="G60" s="556"/>
      <c r="H60" s="556"/>
      <c r="I60" s="556"/>
      <c r="J60" s="556"/>
      <c r="K60" s="556"/>
      <c r="L60" s="393"/>
      <c r="M60" s="556"/>
      <c r="N60" s="556"/>
      <c r="O60" s="556"/>
      <c r="P60" s="556"/>
      <c r="Q60" s="556"/>
      <c r="R60" s="393"/>
      <c r="S60" s="393"/>
      <c r="T60" s="393"/>
      <c r="U60" s="393"/>
      <c r="V60" s="393"/>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4"/>
      <c r="B61" s="393"/>
      <c r="E61" s="556"/>
      <c r="F61" s="556"/>
      <c r="G61" s="556"/>
      <c r="H61" s="556"/>
      <c r="I61" s="556"/>
      <c r="J61" s="556"/>
      <c r="K61" s="556"/>
      <c r="L61" s="393"/>
      <c r="M61" s="556"/>
      <c r="N61" s="556"/>
      <c r="O61" s="556"/>
      <c r="P61" s="556"/>
      <c r="Q61" s="556"/>
      <c r="R61" s="393"/>
      <c r="S61" s="393"/>
      <c r="T61" s="393"/>
      <c r="U61" s="393"/>
      <c r="V61" s="393"/>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4"/>
      <c r="B62" s="393"/>
      <c r="E62" s="556"/>
      <c r="F62" s="556"/>
      <c r="G62" s="556"/>
      <c r="H62" s="556"/>
      <c r="I62" s="556"/>
      <c r="J62" s="556"/>
      <c r="K62" s="556"/>
      <c r="L62" s="393"/>
      <c r="M62" s="556"/>
      <c r="N62" s="556"/>
      <c r="O62" s="556"/>
      <c r="P62" s="556"/>
      <c r="Q62" s="556"/>
      <c r="R62" s="393"/>
      <c r="S62" s="393"/>
      <c r="T62" s="393"/>
      <c r="U62" s="393"/>
      <c r="V62" s="393"/>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4"/>
      <c r="B63" s="393"/>
      <c r="E63" s="556"/>
      <c r="F63" s="556"/>
      <c r="G63" s="556"/>
      <c r="H63" s="556"/>
      <c r="I63" s="556"/>
      <c r="J63" s="556"/>
      <c r="K63" s="556"/>
      <c r="L63" s="393"/>
      <c r="M63" s="556"/>
      <c r="N63" s="556"/>
      <c r="O63" s="556"/>
      <c r="P63" s="556"/>
      <c r="Q63" s="556"/>
      <c r="R63" s="393"/>
      <c r="S63" s="393"/>
      <c r="T63" s="393"/>
      <c r="U63" s="393"/>
      <c r="V63" s="393"/>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4"/>
      <c r="B64" s="393"/>
      <c r="E64" s="556"/>
      <c r="F64" s="556"/>
      <c r="G64" s="556"/>
      <c r="H64" s="556"/>
      <c r="I64" s="556"/>
      <c r="J64" s="556"/>
      <c r="K64" s="556"/>
      <c r="L64" s="393"/>
      <c r="M64" s="556"/>
      <c r="N64" s="556"/>
      <c r="O64" s="556"/>
      <c r="P64" s="556"/>
      <c r="Q64" s="556"/>
      <c r="R64" s="393"/>
      <c r="S64" s="393"/>
      <c r="T64" s="393"/>
      <c r="U64" s="393"/>
      <c r="V64" s="393"/>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4"/>
      <c r="B65" s="393"/>
      <c r="E65" s="556"/>
      <c r="F65" s="556"/>
      <c r="G65" s="556"/>
      <c r="H65" s="556"/>
      <c r="I65" s="556"/>
      <c r="J65" s="556"/>
      <c r="K65" s="556"/>
      <c r="L65" s="393"/>
      <c r="M65" s="556"/>
      <c r="N65" s="556"/>
      <c r="O65" s="556"/>
      <c r="P65" s="556"/>
      <c r="Q65" s="556"/>
      <c r="R65" s="393"/>
      <c r="S65" s="393"/>
      <c r="T65" s="393"/>
      <c r="U65" s="393"/>
      <c r="V65" s="393"/>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4"/>
      <c r="B66" s="393"/>
      <c r="E66" s="556"/>
      <c r="F66" s="556"/>
      <c r="G66" s="556"/>
      <c r="H66" s="556"/>
      <c r="I66" s="556"/>
      <c r="J66" s="556"/>
      <c r="K66" s="556"/>
      <c r="L66" s="393"/>
      <c r="M66" s="556"/>
      <c r="N66" s="556"/>
      <c r="O66" s="556"/>
      <c r="P66" s="556"/>
      <c r="Q66" s="556"/>
      <c r="R66" s="393"/>
      <c r="S66" s="393"/>
      <c r="T66" s="393"/>
      <c r="U66" s="393"/>
      <c r="V66" s="393"/>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4"/>
      <c r="B67" s="393"/>
      <c r="E67" s="556"/>
      <c r="F67" s="556"/>
      <c r="G67" s="556"/>
      <c r="H67" s="556"/>
      <c r="I67" s="556"/>
      <c r="J67" s="556"/>
      <c r="K67" s="556"/>
      <c r="L67" s="393"/>
      <c r="M67" s="556"/>
      <c r="N67" s="556"/>
      <c r="O67" s="556"/>
      <c r="P67" s="556"/>
      <c r="Q67" s="556"/>
      <c r="R67" s="393"/>
      <c r="S67" s="393"/>
      <c r="T67" s="393"/>
      <c r="U67" s="393"/>
      <c r="V67" s="393"/>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4"/>
      <c r="B68" s="393"/>
      <c r="E68" s="556"/>
      <c r="F68" s="556"/>
      <c r="G68" s="556"/>
      <c r="H68" s="556"/>
      <c r="I68" s="556"/>
      <c r="J68" s="556"/>
      <c r="K68" s="556"/>
      <c r="L68" s="393"/>
      <c r="M68" s="556"/>
      <c r="N68" s="556"/>
      <c r="O68" s="556"/>
      <c r="P68" s="556"/>
      <c r="Q68" s="556"/>
      <c r="R68" s="393"/>
      <c r="S68" s="393"/>
      <c r="T68" s="393"/>
      <c r="U68" s="393"/>
      <c r="V68" s="393"/>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4"/>
      <c r="B69" s="393"/>
      <c r="E69" s="556"/>
      <c r="F69" s="556"/>
      <c r="G69" s="556"/>
      <c r="H69" s="556"/>
      <c r="I69" s="556"/>
      <c r="J69" s="556"/>
      <c r="K69" s="556"/>
      <c r="L69" s="393"/>
      <c r="M69" s="556"/>
      <c r="N69" s="556"/>
      <c r="O69" s="556"/>
      <c r="P69" s="556"/>
      <c r="Q69" s="556"/>
      <c r="R69" s="393"/>
      <c r="S69" s="393"/>
      <c r="T69" s="393"/>
      <c r="U69" s="393"/>
      <c r="V69" s="393"/>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4"/>
      <c r="B70" s="393"/>
      <c r="E70" s="556"/>
      <c r="F70" s="556"/>
      <c r="G70" s="556"/>
      <c r="H70" s="556"/>
      <c r="I70" s="556"/>
      <c r="J70" s="556"/>
      <c r="K70" s="556"/>
      <c r="L70" s="393"/>
      <c r="M70" s="556"/>
      <c r="N70" s="556"/>
      <c r="O70" s="556"/>
      <c r="P70" s="556"/>
      <c r="Q70" s="556"/>
      <c r="R70" s="393"/>
      <c r="S70" s="393"/>
      <c r="T70" s="393"/>
      <c r="U70" s="393"/>
      <c r="V70" s="393"/>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4"/>
      <c r="B71" s="393"/>
      <c r="E71" s="556"/>
      <c r="F71" s="556"/>
      <c r="G71" s="556"/>
      <c r="H71" s="556"/>
      <c r="I71" s="556"/>
      <c r="J71" s="556"/>
      <c r="K71" s="556"/>
      <c r="L71" s="393"/>
      <c r="M71" s="556"/>
      <c r="N71" s="556"/>
      <c r="O71" s="556"/>
      <c r="P71" s="556"/>
      <c r="Q71" s="556"/>
      <c r="R71" s="393"/>
      <c r="S71" s="393"/>
      <c r="T71" s="393"/>
      <c r="U71" s="393"/>
      <c r="V71" s="393"/>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4"/>
      <c r="B72" s="393"/>
      <c r="E72" s="556"/>
      <c r="F72" s="556"/>
      <c r="G72" s="556"/>
      <c r="H72" s="556"/>
      <c r="I72" s="556"/>
      <c r="J72" s="556"/>
      <c r="K72" s="556"/>
      <c r="L72" s="393"/>
      <c r="M72" s="556"/>
      <c r="N72" s="556"/>
      <c r="O72" s="556"/>
      <c r="P72" s="556"/>
      <c r="Q72" s="556"/>
      <c r="R72" s="393"/>
      <c r="S72" s="393"/>
      <c r="T72" s="393"/>
      <c r="U72" s="393"/>
      <c r="V72" s="393"/>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4"/>
      <c r="B73" s="393"/>
      <c r="E73" s="556"/>
      <c r="F73" s="556"/>
      <c r="G73" s="556"/>
      <c r="H73" s="556"/>
      <c r="I73" s="556"/>
      <c r="J73" s="556"/>
      <c r="K73" s="556"/>
      <c r="L73" s="393"/>
      <c r="M73" s="556"/>
      <c r="N73" s="556"/>
      <c r="O73" s="556"/>
      <c r="P73" s="556"/>
      <c r="Q73" s="556"/>
      <c r="R73" s="393"/>
      <c r="S73" s="393"/>
      <c r="T73" s="393"/>
      <c r="U73" s="393"/>
      <c r="V73" s="393"/>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4"/>
      <c r="B74" s="393"/>
      <c r="E74" s="556"/>
      <c r="F74" s="556"/>
      <c r="G74" s="556"/>
      <c r="H74" s="556"/>
      <c r="I74" s="556"/>
      <c r="J74" s="556"/>
      <c r="K74" s="556"/>
      <c r="L74" s="393"/>
      <c r="M74" s="556"/>
      <c r="N74" s="556"/>
      <c r="O74" s="556"/>
      <c r="P74" s="556"/>
      <c r="Q74" s="556"/>
      <c r="R74" s="393"/>
      <c r="S74" s="393"/>
      <c r="T74" s="393"/>
      <c r="U74" s="393"/>
      <c r="V74" s="393"/>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4"/>
      <c r="B75" s="393"/>
      <c r="E75" s="556"/>
      <c r="F75" s="556"/>
      <c r="G75" s="556"/>
      <c r="H75" s="556"/>
      <c r="I75" s="556"/>
      <c r="J75" s="556"/>
      <c r="K75" s="556"/>
      <c r="L75" s="393"/>
      <c r="M75" s="556"/>
      <c r="N75" s="556"/>
      <c r="O75" s="556"/>
      <c r="P75" s="556"/>
      <c r="Q75" s="556"/>
      <c r="R75" s="393"/>
      <c r="S75" s="393"/>
      <c r="T75" s="393"/>
      <c r="U75" s="393"/>
      <c r="V75" s="393"/>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4"/>
      <c r="B76" s="393"/>
      <c r="E76" s="556"/>
      <c r="F76" s="556"/>
      <c r="G76" s="556"/>
      <c r="H76" s="556"/>
      <c r="I76" s="556"/>
      <c r="J76" s="556"/>
      <c r="K76" s="556"/>
      <c r="L76" s="393"/>
      <c r="M76" s="556"/>
      <c r="N76" s="556"/>
      <c r="O76" s="556"/>
      <c r="P76" s="556"/>
      <c r="Q76" s="556"/>
      <c r="R76" s="393"/>
      <c r="S76" s="393"/>
      <c r="T76" s="393"/>
      <c r="U76" s="393"/>
      <c r="V76" s="393"/>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4"/>
      <c r="B77" s="393"/>
      <c r="E77" s="556"/>
      <c r="F77" s="556"/>
      <c r="G77" s="556"/>
      <c r="H77" s="556"/>
      <c r="I77" s="556"/>
      <c r="J77" s="556"/>
      <c r="K77" s="556"/>
      <c r="L77" s="393"/>
      <c r="M77" s="556"/>
      <c r="N77" s="556"/>
      <c r="O77" s="556"/>
      <c r="P77" s="556"/>
      <c r="Q77" s="556"/>
      <c r="R77" s="393"/>
      <c r="S77" s="393"/>
      <c r="T77" s="393"/>
      <c r="U77" s="393"/>
      <c r="V77" s="393"/>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4"/>
      <c r="B78" s="393"/>
      <c r="E78" s="556"/>
      <c r="F78" s="556"/>
      <c r="G78" s="556"/>
      <c r="H78" s="556"/>
      <c r="I78" s="556"/>
      <c r="J78" s="556"/>
      <c r="K78" s="556"/>
      <c r="L78" s="393"/>
      <c r="M78" s="556"/>
      <c r="N78" s="556"/>
      <c r="O78" s="556"/>
      <c r="P78" s="556"/>
      <c r="Q78" s="556"/>
      <c r="R78" s="393"/>
      <c r="S78" s="393"/>
      <c r="T78" s="393"/>
      <c r="U78" s="393"/>
      <c r="V78" s="393"/>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4"/>
      <c r="B79" s="393"/>
      <c r="E79" s="556"/>
      <c r="F79" s="556"/>
      <c r="G79" s="556"/>
      <c r="H79" s="556"/>
      <c r="I79" s="556"/>
      <c r="J79" s="556"/>
      <c r="K79" s="556"/>
      <c r="L79" s="393"/>
      <c r="M79" s="556"/>
      <c r="N79" s="556"/>
      <c r="O79" s="556"/>
      <c r="P79" s="556"/>
      <c r="Q79" s="556"/>
      <c r="R79" s="393"/>
      <c r="S79" s="393"/>
      <c r="T79" s="393"/>
      <c r="U79" s="393"/>
      <c r="V79" s="393"/>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4"/>
      <c r="B80" s="393"/>
      <c r="E80" s="556"/>
      <c r="F80" s="556"/>
      <c r="G80" s="556"/>
      <c r="H80" s="556"/>
      <c r="I80" s="556"/>
      <c r="J80" s="556"/>
      <c r="K80" s="556"/>
      <c r="L80" s="393"/>
      <c r="M80" s="556"/>
      <c r="N80" s="556"/>
      <c r="O80" s="556"/>
      <c r="P80" s="556"/>
      <c r="Q80" s="556"/>
      <c r="R80" s="393"/>
      <c r="S80" s="393"/>
      <c r="T80" s="393"/>
      <c r="U80" s="393"/>
      <c r="V80" s="393"/>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4"/>
      <c r="B81" s="393"/>
      <c r="E81" s="556"/>
      <c r="F81" s="556"/>
      <c r="G81" s="556"/>
      <c r="H81" s="556"/>
      <c r="I81" s="556"/>
      <c r="J81" s="556"/>
      <c r="K81" s="556"/>
      <c r="L81" s="393"/>
      <c r="M81" s="556"/>
      <c r="N81" s="556"/>
      <c r="O81" s="556"/>
      <c r="P81" s="556"/>
      <c r="Q81" s="556"/>
      <c r="R81" s="393"/>
      <c r="S81" s="393"/>
      <c r="T81" s="393"/>
      <c r="U81" s="393"/>
      <c r="V81" s="393"/>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4"/>
      <c r="B82" s="393"/>
      <c r="E82" s="556"/>
      <c r="F82" s="556"/>
      <c r="G82" s="556"/>
      <c r="H82" s="556"/>
      <c r="I82" s="556"/>
      <c r="J82" s="556"/>
      <c r="K82" s="556"/>
      <c r="L82" s="393"/>
      <c r="M82" s="556"/>
      <c r="N82" s="556"/>
      <c r="O82" s="556"/>
      <c r="P82" s="556"/>
      <c r="Q82" s="556"/>
      <c r="R82" s="393"/>
      <c r="S82" s="393"/>
      <c r="T82" s="393"/>
      <c r="U82" s="393"/>
      <c r="V82" s="393"/>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4"/>
      <c r="B83" s="393"/>
      <c r="E83" s="556"/>
      <c r="F83" s="556"/>
      <c r="G83" s="556"/>
      <c r="H83" s="556"/>
      <c r="I83" s="556"/>
      <c r="J83" s="556"/>
      <c r="K83" s="556"/>
      <c r="L83" s="393"/>
      <c r="M83" s="556"/>
      <c r="N83" s="556"/>
      <c r="O83" s="556"/>
      <c r="P83" s="556"/>
      <c r="Q83" s="556"/>
      <c r="R83" s="393"/>
      <c r="S83" s="393"/>
      <c r="T83" s="393"/>
      <c r="U83" s="393"/>
      <c r="V83" s="393"/>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4"/>
      <c r="B84" s="393"/>
      <c r="E84" s="556"/>
      <c r="F84" s="556"/>
      <c r="G84" s="556"/>
      <c r="H84" s="556"/>
      <c r="I84" s="556"/>
      <c r="J84" s="556"/>
      <c r="K84" s="556"/>
      <c r="L84" s="393"/>
      <c r="M84" s="556"/>
      <c r="N84" s="556"/>
      <c r="O84" s="556"/>
      <c r="P84" s="556"/>
      <c r="Q84" s="556"/>
      <c r="R84" s="393"/>
      <c r="S84" s="393"/>
      <c r="T84" s="393"/>
      <c r="U84" s="393"/>
      <c r="V84" s="393"/>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4"/>
      <c r="B85" s="393"/>
      <c r="E85" s="556"/>
      <c r="F85" s="556"/>
      <c r="G85" s="556"/>
      <c r="H85" s="556"/>
      <c r="I85" s="556"/>
      <c r="J85" s="556"/>
      <c r="K85" s="556"/>
      <c r="L85" s="393"/>
      <c r="M85" s="556"/>
      <c r="N85" s="556"/>
      <c r="O85" s="556"/>
      <c r="P85" s="556"/>
      <c r="Q85" s="556"/>
      <c r="R85" s="393"/>
      <c r="S85" s="393"/>
      <c r="T85" s="393"/>
      <c r="U85" s="393"/>
      <c r="V85" s="393"/>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4"/>
      <c r="B86" s="393"/>
      <c r="E86" s="556"/>
      <c r="F86" s="556"/>
      <c r="G86" s="556"/>
      <c r="H86" s="556"/>
      <c r="I86" s="556"/>
      <c r="J86" s="556"/>
      <c r="K86" s="556"/>
      <c r="L86" s="393"/>
      <c r="M86" s="556"/>
      <c r="N86" s="556"/>
      <c r="O86" s="556"/>
      <c r="P86" s="556"/>
      <c r="Q86" s="556"/>
      <c r="R86" s="393"/>
      <c r="S86" s="393"/>
      <c r="T86" s="393"/>
      <c r="U86" s="393"/>
      <c r="V86" s="393"/>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4"/>
      <c r="B87" s="393"/>
      <c r="E87" s="556"/>
      <c r="F87" s="556"/>
      <c r="G87" s="556"/>
      <c r="H87" s="556"/>
      <c r="I87" s="556"/>
      <c r="J87" s="556"/>
      <c r="K87" s="556"/>
      <c r="L87" s="393"/>
      <c r="M87" s="556"/>
      <c r="N87" s="556"/>
      <c r="O87" s="556"/>
      <c r="P87" s="556"/>
      <c r="Q87" s="556"/>
      <c r="R87" s="393"/>
      <c r="S87" s="393"/>
      <c r="T87" s="393"/>
      <c r="U87" s="393"/>
      <c r="V87" s="393"/>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4"/>
      <c r="B88" s="393"/>
      <c r="E88" s="556"/>
      <c r="F88" s="556"/>
      <c r="G88" s="556"/>
      <c r="H88" s="556"/>
      <c r="I88" s="556"/>
      <c r="J88" s="556"/>
      <c r="K88" s="556"/>
      <c r="L88" s="393"/>
      <c r="M88" s="556"/>
      <c r="N88" s="556"/>
      <c r="O88" s="556"/>
      <c r="P88" s="556"/>
      <c r="Q88" s="556"/>
      <c r="R88" s="393"/>
      <c r="S88" s="393"/>
      <c r="T88" s="393"/>
      <c r="U88" s="393"/>
      <c r="V88" s="393"/>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4"/>
      <c r="B89" s="393"/>
      <c r="E89" s="556"/>
      <c r="F89" s="556"/>
      <c r="G89" s="556"/>
      <c r="H89" s="556"/>
      <c r="I89" s="556"/>
      <c r="J89" s="556"/>
      <c r="K89" s="556"/>
      <c r="L89" s="393"/>
      <c r="M89" s="556"/>
      <c r="N89" s="556"/>
      <c r="O89" s="556"/>
      <c r="P89" s="556"/>
      <c r="Q89" s="556"/>
      <c r="R89" s="393"/>
      <c r="S89" s="393"/>
      <c r="T89" s="393"/>
      <c r="U89" s="393"/>
      <c r="V89" s="393"/>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4"/>
      <c r="B90" s="393"/>
      <c r="E90" s="556"/>
      <c r="F90" s="556"/>
      <c r="G90" s="556"/>
      <c r="H90" s="556"/>
      <c r="I90" s="556"/>
      <c r="J90" s="556"/>
      <c r="K90" s="556"/>
      <c r="L90" s="393"/>
      <c r="M90" s="556"/>
      <c r="N90" s="556"/>
      <c r="O90" s="556"/>
      <c r="P90" s="556"/>
      <c r="Q90" s="556"/>
      <c r="R90" s="393"/>
      <c r="S90" s="393"/>
      <c r="T90" s="393"/>
      <c r="U90" s="393"/>
      <c r="V90" s="393"/>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4"/>
      <c r="B91" s="393"/>
      <c r="E91" s="556"/>
      <c r="F91" s="556"/>
      <c r="G91" s="556"/>
      <c r="H91" s="556"/>
      <c r="I91" s="556"/>
      <c r="J91" s="556"/>
      <c r="K91" s="556"/>
      <c r="L91" s="393"/>
      <c r="M91" s="556"/>
      <c r="N91" s="556"/>
      <c r="O91" s="556"/>
      <c r="P91" s="556"/>
      <c r="Q91" s="556"/>
      <c r="R91" s="393"/>
      <c r="S91" s="393"/>
      <c r="T91" s="393"/>
      <c r="U91" s="393"/>
      <c r="V91" s="393"/>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4"/>
      <c r="B92" s="393"/>
      <c r="E92" s="556"/>
      <c r="F92" s="556"/>
      <c r="G92" s="556"/>
      <c r="H92" s="556"/>
      <c r="I92" s="556"/>
      <c r="J92" s="556"/>
      <c r="K92" s="556"/>
      <c r="L92" s="393"/>
      <c r="M92" s="556"/>
      <c r="N92" s="556"/>
      <c r="O92" s="556"/>
      <c r="P92" s="556"/>
      <c r="Q92" s="556"/>
      <c r="R92" s="393"/>
      <c r="S92" s="393"/>
      <c r="T92" s="393"/>
      <c r="U92" s="393"/>
      <c r="V92" s="393"/>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4"/>
      <c r="B93" s="393"/>
      <c r="E93" s="556"/>
      <c r="F93" s="556"/>
      <c r="G93" s="556"/>
      <c r="H93" s="556"/>
      <c r="I93" s="556"/>
      <c r="J93" s="556"/>
      <c r="K93" s="556"/>
      <c r="L93" s="393"/>
      <c r="M93" s="556"/>
      <c r="N93" s="556"/>
      <c r="O93" s="556"/>
      <c r="P93" s="556"/>
      <c r="Q93" s="556"/>
      <c r="R93" s="393"/>
      <c r="S93" s="393"/>
      <c r="T93" s="393"/>
      <c r="U93" s="393"/>
      <c r="V93" s="393"/>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4"/>
      <c r="B94" s="393"/>
      <c r="E94" s="556"/>
      <c r="F94" s="556"/>
      <c r="G94" s="556"/>
      <c r="H94" s="556"/>
      <c r="I94" s="556"/>
      <c r="J94" s="556"/>
      <c r="K94" s="556"/>
      <c r="L94" s="393"/>
      <c r="M94" s="556"/>
      <c r="N94" s="556"/>
      <c r="O94" s="556"/>
      <c r="P94" s="556"/>
      <c r="Q94" s="556"/>
      <c r="R94" s="393"/>
      <c r="S94" s="393"/>
      <c r="T94" s="393"/>
      <c r="U94" s="393"/>
      <c r="V94" s="393"/>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4"/>
      <c r="B95" s="393"/>
      <c r="E95" s="556"/>
      <c r="F95" s="556"/>
      <c r="G95" s="556"/>
      <c r="H95" s="556"/>
      <c r="I95" s="556"/>
      <c r="J95" s="556"/>
      <c r="K95" s="556"/>
      <c r="L95" s="393"/>
      <c r="M95" s="556"/>
      <c r="N95" s="556"/>
      <c r="O95" s="556"/>
      <c r="P95" s="556"/>
      <c r="Q95" s="556"/>
      <c r="R95" s="393"/>
      <c r="S95" s="393"/>
      <c r="T95" s="393"/>
      <c r="U95" s="393"/>
      <c r="V95" s="393"/>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4"/>
      <c r="B96" s="393"/>
      <c r="E96" s="556"/>
      <c r="F96" s="556"/>
      <c r="G96" s="556"/>
      <c r="H96" s="556"/>
      <c r="I96" s="556"/>
      <c r="J96" s="556"/>
      <c r="K96" s="556"/>
      <c r="L96" s="393"/>
      <c r="M96" s="556"/>
      <c r="N96" s="556"/>
      <c r="O96" s="556"/>
      <c r="P96" s="556"/>
      <c r="Q96" s="556"/>
      <c r="R96" s="393"/>
      <c r="S96" s="393"/>
      <c r="T96" s="393"/>
      <c r="U96" s="393"/>
      <c r="V96" s="393"/>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4"/>
      <c r="B97" s="393"/>
      <c r="E97" s="556"/>
      <c r="F97" s="556"/>
      <c r="G97" s="556"/>
      <c r="H97" s="556"/>
      <c r="I97" s="556"/>
      <c r="J97" s="556"/>
      <c r="K97" s="556"/>
      <c r="L97" s="393"/>
      <c r="M97" s="556"/>
      <c r="N97" s="556"/>
      <c r="O97" s="556"/>
      <c r="P97" s="556"/>
      <c r="Q97" s="556"/>
      <c r="R97" s="393"/>
      <c r="S97" s="393"/>
      <c r="T97" s="393"/>
      <c r="U97" s="393"/>
      <c r="V97" s="393"/>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4"/>
      <c r="B98" s="393"/>
      <c r="E98" s="556"/>
      <c r="F98" s="556"/>
      <c r="G98" s="556"/>
      <c r="H98" s="556"/>
      <c r="I98" s="556"/>
      <c r="J98" s="556"/>
      <c r="K98" s="556"/>
      <c r="L98" s="393"/>
      <c r="M98" s="556"/>
      <c r="N98" s="556"/>
      <c r="O98" s="556"/>
      <c r="P98" s="556"/>
      <c r="Q98" s="556"/>
      <c r="R98" s="393"/>
      <c r="S98" s="393"/>
      <c r="T98" s="393"/>
      <c r="U98" s="393"/>
      <c r="V98" s="393"/>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4"/>
      <c r="B99" s="393"/>
      <c r="E99" s="556"/>
      <c r="F99" s="556"/>
      <c r="G99" s="556"/>
      <c r="H99" s="556"/>
      <c r="I99" s="556"/>
      <c r="J99" s="556"/>
      <c r="K99" s="556"/>
      <c r="L99" s="393"/>
      <c r="M99" s="556"/>
      <c r="N99" s="556"/>
      <c r="O99" s="556"/>
      <c r="P99" s="556"/>
      <c r="Q99" s="556"/>
      <c r="R99" s="393"/>
      <c r="S99" s="393"/>
      <c r="T99" s="393"/>
      <c r="U99" s="393"/>
      <c r="V99" s="393"/>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76"/>
  <sheetViews>
    <sheetView topLeftCell="A48" zoomScale="75" workbookViewId="0">
      <selection activeCell="G71" sqref="G71"/>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92" t="s">
        <v>408</v>
      </c>
    </row>
    <row r="2" spans="1:11" ht="15.75">
      <c r="A2" s="992" t="s">
        <v>408</v>
      </c>
    </row>
    <row r="3" spans="1:11">
      <c r="A3" s="1492" t="str">
        <f>TCOS!$F$5</f>
        <v>AEPTCo subsidiaries in PJM</v>
      </c>
      <c r="B3" s="1492" t="str">
        <f>TCOS!$F$5</f>
        <v>AEPTCo subsidiaries in PJM</v>
      </c>
      <c r="C3" s="1492" t="str">
        <f>TCOS!$F$5</f>
        <v>AEPTCo subsidiaries in PJM</v>
      </c>
      <c r="D3" s="1492" t="str">
        <f>TCOS!$F$5</f>
        <v>AEPTCo subsidiaries in PJM</v>
      </c>
      <c r="E3" s="1492" t="str">
        <f>TCOS!$F$5</f>
        <v>AEPTCo subsidiaries in PJM</v>
      </c>
      <c r="F3" s="1492" t="str">
        <f>TCOS!$F$5</f>
        <v>AEPTCo subsidiaries in PJM</v>
      </c>
      <c r="G3" s="1492" t="str">
        <f>TCOS!$F$5</f>
        <v>AEPTCo subsidiaries in PJM</v>
      </c>
      <c r="H3" s="21"/>
    </row>
    <row r="4" spans="1:11" ht="12.75" customHeight="1">
      <c r="A4" s="1485" t="str">
        <f>"Cost of Service Formula Rate Using Actual/Projected FF1 Balances"</f>
        <v>Cost of Service Formula Rate Using Actual/Projected FF1 Balances</v>
      </c>
      <c r="B4" s="1485"/>
      <c r="C4" s="1485"/>
      <c r="D4" s="1485"/>
      <c r="E4" s="1485"/>
      <c r="F4" s="1485"/>
      <c r="G4" s="1485"/>
      <c r="H4" s="52"/>
      <c r="I4" s="52"/>
      <c r="J4" s="52"/>
      <c r="K4" s="52"/>
    </row>
    <row r="5" spans="1:11" ht="12.75" customHeight="1">
      <c r="A5" s="1485" t="s">
        <v>278</v>
      </c>
      <c r="B5" s="1485"/>
      <c r="C5" s="1485"/>
      <c r="D5" s="1485"/>
      <c r="E5" s="1485"/>
      <c r="F5" s="1485"/>
      <c r="G5" s="1485"/>
    </row>
    <row r="6" spans="1:11" ht="12.75" customHeight="1">
      <c r="A6" s="1495" t="str">
        <f>TCOS!F9</f>
        <v>AEP Ohio Transmission Company</v>
      </c>
      <c r="B6" s="1495"/>
      <c r="C6" s="1495"/>
      <c r="D6" s="1495"/>
      <c r="E6" s="1495"/>
      <c r="F6" s="1495"/>
      <c r="G6" s="1495"/>
    </row>
    <row r="7" spans="1:11" ht="12.75" customHeight="1">
      <c r="A7" s="1492"/>
      <c r="B7" s="1492"/>
      <c r="C7" s="1492"/>
      <c r="D7" s="1492"/>
      <c r="E7" s="1492"/>
      <c r="F7" s="1492"/>
      <c r="G7" s="25"/>
    </row>
    <row r="8" spans="1:11" ht="18">
      <c r="A8" s="1526"/>
      <c r="B8" s="1526"/>
      <c r="C8" s="1526"/>
      <c r="D8" s="1526"/>
      <c r="E8" s="1526"/>
      <c r="F8" s="1526"/>
      <c r="G8" s="1526"/>
    </row>
    <row r="9" spans="1:11" ht="18">
      <c r="A9" s="81"/>
      <c r="B9" s="81"/>
      <c r="C9" s="81"/>
      <c r="D9" s="81"/>
      <c r="E9" s="81"/>
      <c r="F9" s="81"/>
      <c r="G9" s="81"/>
    </row>
    <row r="10" spans="1:11" ht="15.75">
      <c r="B10" s="19" t="s">
        <v>454</v>
      </c>
      <c r="C10" s="19" t="s">
        <v>455</v>
      </c>
      <c r="D10" s="19" t="s">
        <v>456</v>
      </c>
      <c r="E10" s="19" t="s">
        <v>457</v>
      </c>
      <c r="F10" s="19" t="s">
        <v>377</v>
      </c>
      <c r="G10" s="19" t="s">
        <v>378</v>
      </c>
    </row>
    <row r="11" spans="1:11" ht="15.75">
      <c r="B11" s="30"/>
      <c r="C11" s="25"/>
      <c r="D11" s="93"/>
      <c r="E11" s="94"/>
      <c r="F11" s="95" t="s">
        <v>380</v>
      </c>
      <c r="G11" s="19"/>
    </row>
    <row r="12" spans="1:11" ht="15.75">
      <c r="A12" s="33" t="s">
        <v>461</v>
      </c>
      <c r="B12" s="30"/>
      <c r="C12" s="39"/>
      <c r="D12" s="33">
        <f>+TCOS!L4</f>
        <v>2023</v>
      </c>
      <c r="E12" s="95" t="s">
        <v>380</v>
      </c>
      <c r="F12" s="33" t="s">
        <v>409</v>
      </c>
      <c r="G12" s="19"/>
    </row>
    <row r="13" spans="1:11" ht="15.75">
      <c r="A13" s="33" t="s">
        <v>399</v>
      </c>
      <c r="B13" s="33" t="s">
        <v>362</v>
      </c>
      <c r="C13" s="33" t="s">
        <v>459</v>
      </c>
      <c r="D13" s="33" t="s">
        <v>363</v>
      </c>
      <c r="E13" s="33" t="s">
        <v>382</v>
      </c>
      <c r="F13" s="33" t="s">
        <v>364</v>
      </c>
      <c r="G13" s="33" t="s">
        <v>365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54"/>
      <c r="C18" s="560"/>
      <c r="D18" s="559"/>
      <c r="E18" s="48"/>
      <c r="F18" s="48"/>
      <c r="G18" s="22"/>
    </row>
    <row r="19" spans="1:7">
      <c r="A19" s="32">
        <f>+A18+1</f>
        <v>2</v>
      </c>
      <c r="B19" s="955"/>
      <c r="C19" s="956"/>
      <c r="D19" s="559"/>
      <c r="E19" s="48"/>
      <c r="F19" s="48"/>
      <c r="G19" s="22"/>
    </row>
    <row r="20" spans="1:7" ht="15.75">
      <c r="A20" s="32">
        <f>+A19+1</f>
        <v>3</v>
      </c>
      <c r="B20" s="957"/>
      <c r="C20" s="560"/>
      <c r="D20" s="559"/>
      <c r="E20" s="48"/>
      <c r="F20" s="48"/>
      <c r="G20" s="22"/>
    </row>
    <row r="21" spans="1:7" ht="15.75">
      <c r="A21" s="32">
        <f>+A20+1</f>
        <v>4</v>
      </c>
      <c r="B21" s="33"/>
      <c r="C21" s="107" t="s">
        <v>412</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36"/>
      <c r="E24" s="23"/>
      <c r="F24" s="23"/>
      <c r="G24" s="33"/>
    </row>
    <row r="25" spans="1:7" ht="15.75">
      <c r="A25" s="137">
        <f>+A24+1</f>
        <v>6</v>
      </c>
      <c r="B25" s="138" t="s">
        <v>177</v>
      </c>
      <c r="C25" s="138" t="s">
        <v>174</v>
      </c>
      <c r="D25" s="559">
        <v>0</v>
      </c>
      <c r="E25" s="23"/>
      <c r="F25" s="23"/>
      <c r="G25" s="33"/>
    </row>
    <row r="26" spans="1:7" ht="15.75">
      <c r="A26" s="32">
        <f>+A25+1</f>
        <v>7</v>
      </c>
      <c r="B26" s="136" t="s">
        <v>178</v>
      </c>
      <c r="C26" s="136" t="s">
        <v>175</v>
      </c>
      <c r="D26" s="559">
        <v>528903.30000000005</v>
      </c>
      <c r="E26" s="23"/>
      <c r="F26" s="23"/>
      <c r="G26" s="33"/>
    </row>
    <row r="27" spans="1:7" ht="15.75">
      <c r="A27" s="137">
        <f t="shared" ref="A27:A32" si="0">+A26+1</f>
        <v>8</v>
      </c>
      <c r="B27" s="138" t="s">
        <v>179</v>
      </c>
      <c r="C27" s="138" t="s">
        <v>176</v>
      </c>
      <c r="D27" s="559">
        <v>0</v>
      </c>
      <c r="E27" s="23"/>
      <c r="F27" s="23"/>
      <c r="G27" s="33"/>
    </row>
    <row r="28" spans="1:7" ht="15.75">
      <c r="A28" s="32">
        <f t="shared" si="0"/>
        <v>9</v>
      </c>
      <c r="B28" s="136" t="s">
        <v>180</v>
      </c>
      <c r="C28" s="136" t="s">
        <v>184</v>
      </c>
      <c r="D28" s="559">
        <v>0</v>
      </c>
      <c r="E28" s="23"/>
      <c r="F28" s="23"/>
      <c r="G28" s="33"/>
    </row>
    <row r="29" spans="1:7" ht="15.75">
      <c r="A29" s="137">
        <f t="shared" si="0"/>
        <v>10</v>
      </c>
      <c r="B29" s="138" t="s">
        <v>181</v>
      </c>
      <c r="C29" s="138" t="s">
        <v>187</v>
      </c>
      <c r="D29" s="559">
        <v>529032.02</v>
      </c>
      <c r="E29" s="23"/>
      <c r="F29" s="23"/>
      <c r="G29" s="33"/>
    </row>
    <row r="30" spans="1:7" ht="15.75">
      <c r="A30" s="32">
        <f t="shared" si="0"/>
        <v>11</v>
      </c>
      <c r="B30" s="136" t="s">
        <v>182</v>
      </c>
      <c r="C30" s="136" t="s">
        <v>188</v>
      </c>
      <c r="D30" s="559">
        <v>0</v>
      </c>
      <c r="E30" s="23"/>
      <c r="F30" s="23"/>
      <c r="G30" s="33"/>
    </row>
    <row r="31" spans="1:7" ht="15.75">
      <c r="A31" s="137">
        <f t="shared" si="0"/>
        <v>12</v>
      </c>
      <c r="B31" s="138" t="s">
        <v>183</v>
      </c>
      <c r="C31" s="138" t="s">
        <v>189</v>
      </c>
      <c r="D31" s="559">
        <v>0</v>
      </c>
      <c r="E31" s="23"/>
      <c r="F31" s="23"/>
      <c r="G31" s="33"/>
    </row>
    <row r="32" spans="1:7" ht="15.75">
      <c r="A32" s="32">
        <f t="shared" si="0"/>
        <v>13</v>
      </c>
      <c r="B32" s="136" t="s">
        <v>185</v>
      </c>
      <c r="C32" s="136" t="s">
        <v>190</v>
      </c>
      <c r="D32" s="559">
        <v>0</v>
      </c>
      <c r="E32" s="23"/>
      <c r="F32" s="23"/>
      <c r="G32" s="33"/>
    </row>
    <row r="33" spans="1:19" ht="15.75">
      <c r="A33" s="137">
        <f>+A32+1</f>
        <v>14</v>
      </c>
      <c r="B33" s="138"/>
      <c r="C33" s="19" t="s">
        <v>186</v>
      </c>
      <c r="D33" s="41">
        <f>SUM(D24:D32)</f>
        <v>1057935.32</v>
      </c>
      <c r="E33" s="33"/>
      <c r="F33" s="33"/>
      <c r="G33" s="33"/>
    </row>
    <row r="34" spans="1:19" ht="15.75">
      <c r="A34" s="106"/>
      <c r="B34" s="47"/>
      <c r="C34" s="33"/>
      <c r="D34" s="33"/>
      <c r="E34" s="33"/>
      <c r="F34" s="33"/>
      <c r="G34" s="33"/>
    </row>
    <row r="35" spans="1:19" ht="15.75">
      <c r="A35" s="106"/>
      <c r="B35" s="32"/>
      <c r="C35" s="55" t="s">
        <v>496</v>
      </c>
      <c r="D35" s="25"/>
      <c r="E35" s="25"/>
      <c r="F35" s="25"/>
      <c r="G35" s="25"/>
    </row>
    <row r="36" spans="1:19">
      <c r="A36" s="32">
        <f>+A33+1</f>
        <v>15</v>
      </c>
      <c r="B36" s="954" t="s">
        <v>846</v>
      </c>
      <c r="C36" s="560" t="s">
        <v>847</v>
      </c>
      <c r="D36" s="559">
        <v>36.22</v>
      </c>
      <c r="E36" s="23">
        <f t="shared" ref="E36" si="1">+D36</f>
        <v>36.22</v>
      </c>
      <c r="F36" s="23">
        <v>0</v>
      </c>
      <c r="G36" s="22"/>
    </row>
    <row r="37" spans="1:19">
      <c r="A37" s="32">
        <f>+A36+1</f>
        <v>16</v>
      </c>
      <c r="B37" s="954" t="s">
        <v>848</v>
      </c>
      <c r="C37" s="560" t="s">
        <v>849</v>
      </c>
      <c r="D37" s="559">
        <v>-7.5</v>
      </c>
      <c r="E37" s="23">
        <f t="shared" ref="E37:E41" si="2">+D37</f>
        <v>-7.5</v>
      </c>
      <c r="F37" s="23">
        <v>0</v>
      </c>
      <c r="G37" s="22"/>
    </row>
    <row r="38" spans="1:19">
      <c r="A38" s="32">
        <f>+A37+1</f>
        <v>17</v>
      </c>
      <c r="B38" s="954" t="s">
        <v>850</v>
      </c>
      <c r="C38" s="560" t="s">
        <v>851</v>
      </c>
      <c r="D38" s="559">
        <v>309233.69</v>
      </c>
      <c r="E38" s="23">
        <f t="shared" si="2"/>
        <v>309233.69</v>
      </c>
      <c r="F38" s="23">
        <v>0</v>
      </c>
      <c r="G38" s="22"/>
    </row>
    <row r="39" spans="1:19">
      <c r="A39" s="32">
        <f>+A38+1</f>
        <v>18</v>
      </c>
      <c r="B39" s="954" t="s">
        <v>852</v>
      </c>
      <c r="C39" s="560" t="s">
        <v>853</v>
      </c>
      <c r="D39" s="559">
        <v>119719.17</v>
      </c>
      <c r="E39" s="23">
        <v>0</v>
      </c>
      <c r="F39" s="23">
        <f>D39</f>
        <v>119719.17</v>
      </c>
      <c r="G39" s="50"/>
    </row>
    <row r="40" spans="1:19">
      <c r="A40" s="32">
        <f>+A39+1</f>
        <v>19</v>
      </c>
      <c r="B40" s="1454" t="s">
        <v>1071</v>
      </c>
      <c r="C40" s="560" t="s">
        <v>1072</v>
      </c>
      <c r="D40" s="559">
        <v>1486254.3</v>
      </c>
      <c r="E40" s="23">
        <f t="shared" ref="E40" si="3">+D40</f>
        <v>1486254.3</v>
      </c>
      <c r="F40" s="23">
        <v>0</v>
      </c>
      <c r="G40" s="50"/>
    </row>
    <row r="41" spans="1:19">
      <c r="A41" s="32">
        <f>+A40+1</f>
        <v>20</v>
      </c>
      <c r="B41" s="954"/>
      <c r="C41" s="560"/>
      <c r="D41" s="559"/>
      <c r="E41" s="23">
        <f t="shared" si="2"/>
        <v>0</v>
      </c>
      <c r="F41" s="23">
        <v>0</v>
      </c>
      <c r="G41" s="50"/>
    </row>
    <row r="42" spans="1:19">
      <c r="A42" s="32"/>
      <c r="B42" s="54"/>
      <c r="C42" s="43"/>
      <c r="D42" s="23"/>
      <c r="E42" s="23"/>
      <c r="F42" s="23"/>
      <c r="G42" s="22"/>
    </row>
    <row r="43" spans="1:19" ht="12.75" customHeight="1">
      <c r="A43" s="32"/>
      <c r="B43" s="24" t="s">
        <v>408</v>
      </c>
      <c r="C43" s="43"/>
      <c r="D43" s="26"/>
      <c r="E43" s="27"/>
      <c r="F43" s="28"/>
      <c r="G43" s="25"/>
    </row>
    <row r="44" spans="1:19" ht="15.75" customHeight="1">
      <c r="A44" s="32">
        <f>+A41+1</f>
        <v>21</v>
      </c>
      <c r="B44" s="30"/>
      <c r="C44" s="1237" t="s">
        <v>627</v>
      </c>
      <c r="D44" s="41">
        <f>SUM(D36:D42)</f>
        <v>1915235.88</v>
      </c>
      <c r="E44" s="41">
        <f>SUM(E36:E42)</f>
        <v>1795516.71</v>
      </c>
      <c r="F44" s="41">
        <f>SUM(F36:F42)</f>
        <v>119719.17</v>
      </c>
      <c r="G44" s="13"/>
    </row>
    <row r="45" spans="1:19" ht="12.75" customHeight="1">
      <c r="A45" s="32"/>
      <c r="B45" s="30"/>
      <c r="C45" s="31"/>
      <c r="D45" s="46"/>
      <c r="E45" s="16"/>
      <c r="F45" s="16"/>
      <c r="G45" s="25"/>
    </row>
    <row r="46" spans="1:19" ht="15.75">
      <c r="A46" s="32"/>
      <c r="B46" s="32"/>
      <c r="C46" s="55" t="s">
        <v>495</v>
      </c>
      <c r="D46" s="16"/>
      <c r="E46" s="16"/>
      <c r="F46" s="16"/>
      <c r="G46" s="25"/>
    </row>
    <row r="47" spans="1:19">
      <c r="A47" s="32">
        <f>+A44+1</f>
        <v>22</v>
      </c>
      <c r="B47" s="954" t="s">
        <v>854</v>
      </c>
      <c r="C47" s="560" t="s">
        <v>855</v>
      </c>
      <c r="D47" s="561">
        <v>0</v>
      </c>
      <c r="E47" s="23">
        <f>+D47</f>
        <v>0</v>
      </c>
      <c r="F47" s="23">
        <v>0</v>
      </c>
      <c r="G47"/>
      <c r="M47" s="12"/>
      <c r="N47" s="44"/>
      <c r="O47" s="45"/>
      <c r="P47" s="45"/>
      <c r="Q47" s="45"/>
      <c r="R47" s="45"/>
      <c r="S47" s="14"/>
    </row>
    <row r="48" spans="1:19">
      <c r="A48" s="32">
        <f>+A47+1</f>
        <v>23</v>
      </c>
      <c r="B48" s="954" t="s">
        <v>856</v>
      </c>
      <c r="C48" s="560" t="s">
        <v>857</v>
      </c>
      <c r="D48" s="561">
        <v>1.05</v>
      </c>
      <c r="E48" s="23">
        <f t="shared" ref="E48:E62" si="4">+D48</f>
        <v>1.05</v>
      </c>
      <c r="F48" s="23">
        <v>0</v>
      </c>
      <c r="G48"/>
      <c r="M48" s="12"/>
      <c r="N48" s="44"/>
      <c r="O48" s="45"/>
      <c r="P48" s="45"/>
      <c r="Q48" s="45"/>
      <c r="R48" s="45"/>
      <c r="S48" s="14"/>
    </row>
    <row r="49" spans="1:19">
      <c r="A49" s="32">
        <f t="shared" ref="A49:A62" si="5">+A48+1</f>
        <v>24</v>
      </c>
      <c r="B49" s="954" t="s">
        <v>858</v>
      </c>
      <c r="C49" s="560" t="s">
        <v>859</v>
      </c>
      <c r="D49" s="561">
        <v>438.28000000000003</v>
      </c>
      <c r="E49" s="23">
        <f t="shared" si="4"/>
        <v>438.28000000000003</v>
      </c>
      <c r="F49" s="23">
        <v>0</v>
      </c>
      <c r="G49"/>
      <c r="M49" s="12"/>
      <c r="N49" s="44"/>
      <c r="O49" s="45"/>
      <c r="P49" s="45"/>
      <c r="Q49" s="45"/>
      <c r="R49" s="45"/>
      <c r="S49" s="14"/>
    </row>
    <row r="50" spans="1:19">
      <c r="A50" s="32">
        <f t="shared" si="5"/>
        <v>25</v>
      </c>
      <c r="B50" s="954" t="s">
        <v>860</v>
      </c>
      <c r="C50" s="560" t="s">
        <v>861</v>
      </c>
      <c r="D50" s="561">
        <v>12.450000000000001</v>
      </c>
      <c r="E50" s="23">
        <f t="shared" si="4"/>
        <v>12.450000000000001</v>
      </c>
      <c r="F50" s="23">
        <v>0</v>
      </c>
      <c r="G50"/>
      <c r="M50" s="12"/>
      <c r="N50" s="44"/>
      <c r="O50" s="45"/>
      <c r="P50" s="45"/>
      <c r="Q50" s="45"/>
      <c r="R50" s="45"/>
      <c r="S50" s="14"/>
    </row>
    <row r="51" spans="1:19">
      <c r="A51" s="32">
        <f t="shared" si="5"/>
        <v>26</v>
      </c>
      <c r="B51" s="954" t="s">
        <v>978</v>
      </c>
      <c r="C51" s="560" t="s">
        <v>979</v>
      </c>
      <c r="D51" s="561">
        <v>84.69</v>
      </c>
      <c r="E51" s="23">
        <f t="shared" si="4"/>
        <v>84.69</v>
      </c>
      <c r="F51" s="23"/>
      <c r="G51"/>
      <c r="M51" s="12"/>
      <c r="N51" s="44"/>
      <c r="O51" s="45"/>
      <c r="P51" s="45"/>
      <c r="Q51" s="45"/>
      <c r="R51" s="45"/>
      <c r="S51" s="14"/>
    </row>
    <row r="52" spans="1:19">
      <c r="A52" s="32">
        <f t="shared" si="5"/>
        <v>27</v>
      </c>
      <c r="B52" s="954" t="s">
        <v>862</v>
      </c>
      <c r="C52" s="560" t="s">
        <v>863</v>
      </c>
      <c r="D52" s="561">
        <v>58.97</v>
      </c>
      <c r="E52" s="23">
        <f t="shared" si="4"/>
        <v>58.97</v>
      </c>
      <c r="F52" s="23">
        <v>0</v>
      </c>
      <c r="G52"/>
      <c r="M52" s="12"/>
      <c r="N52" s="44"/>
      <c r="O52" s="45"/>
      <c r="P52" s="45"/>
      <c r="Q52" s="45"/>
      <c r="R52" s="45"/>
      <c r="S52" s="14"/>
    </row>
    <row r="53" spans="1:19">
      <c r="A53" s="32">
        <f t="shared" si="5"/>
        <v>28</v>
      </c>
      <c r="B53" s="954"/>
      <c r="C53" s="560"/>
      <c r="D53" s="561"/>
      <c r="E53" s="23">
        <f t="shared" si="4"/>
        <v>0</v>
      </c>
      <c r="F53" s="23">
        <v>0</v>
      </c>
      <c r="G53"/>
      <c r="M53" s="12"/>
      <c r="N53" s="44"/>
      <c r="O53" s="45"/>
      <c r="P53" s="45"/>
      <c r="Q53" s="45"/>
      <c r="R53" s="45"/>
      <c r="S53" s="14"/>
    </row>
    <row r="54" spans="1:19">
      <c r="A54" s="32">
        <f t="shared" si="5"/>
        <v>29</v>
      </c>
      <c r="B54" s="954"/>
      <c r="C54" s="560"/>
      <c r="D54" s="561"/>
      <c r="E54" s="23">
        <f t="shared" si="4"/>
        <v>0</v>
      </c>
      <c r="F54" s="23">
        <v>0</v>
      </c>
      <c r="G54"/>
      <c r="M54" s="12"/>
      <c r="N54" s="44"/>
      <c r="O54" s="45"/>
      <c r="P54" s="45"/>
      <c r="Q54" s="45"/>
      <c r="R54" s="45"/>
      <c r="S54" s="14"/>
    </row>
    <row r="55" spans="1:19">
      <c r="A55" s="32">
        <f t="shared" si="5"/>
        <v>30</v>
      </c>
      <c r="B55" s="954"/>
      <c r="C55" s="560"/>
      <c r="D55" s="561"/>
      <c r="E55" s="23">
        <f t="shared" si="4"/>
        <v>0</v>
      </c>
      <c r="F55" s="23">
        <v>0</v>
      </c>
      <c r="G55"/>
      <c r="M55" s="12"/>
      <c r="N55" s="44"/>
      <c r="O55" s="45"/>
      <c r="P55" s="45"/>
      <c r="Q55" s="45"/>
      <c r="R55" s="45"/>
      <c r="S55" s="14"/>
    </row>
    <row r="56" spans="1:19">
      <c r="A56" s="32">
        <f t="shared" si="5"/>
        <v>31</v>
      </c>
      <c r="B56" s="954"/>
      <c r="C56" s="560"/>
      <c r="D56" s="561"/>
      <c r="E56" s="23">
        <f t="shared" si="4"/>
        <v>0</v>
      </c>
      <c r="F56" s="23">
        <v>0</v>
      </c>
      <c r="G56"/>
      <c r="M56" s="12"/>
      <c r="N56" s="44"/>
      <c r="O56" s="45"/>
      <c r="P56" s="45"/>
      <c r="Q56" s="45"/>
      <c r="R56" s="45"/>
      <c r="S56" s="14"/>
    </row>
    <row r="57" spans="1:19">
      <c r="A57" s="32">
        <f t="shared" si="5"/>
        <v>32</v>
      </c>
      <c r="B57" s="954"/>
      <c r="C57" s="560"/>
      <c r="D57" s="561"/>
      <c r="E57" s="23">
        <f t="shared" si="4"/>
        <v>0</v>
      </c>
      <c r="F57" s="29">
        <v>0</v>
      </c>
      <c r="G57"/>
      <c r="M57" s="12"/>
      <c r="N57" s="44"/>
      <c r="O57" s="45"/>
      <c r="P57" s="45"/>
      <c r="Q57" s="45"/>
      <c r="R57" s="45"/>
      <c r="S57" s="14"/>
    </row>
    <row r="58" spans="1:19">
      <c r="A58" s="32">
        <f t="shared" si="5"/>
        <v>33</v>
      </c>
      <c r="B58" s="954"/>
      <c r="C58" s="560"/>
      <c r="D58" s="561"/>
      <c r="E58" s="23">
        <f t="shared" si="4"/>
        <v>0</v>
      </c>
      <c r="F58" s="29">
        <v>0</v>
      </c>
      <c r="G58"/>
    </row>
    <row r="59" spans="1:19">
      <c r="A59" s="32">
        <f t="shared" si="5"/>
        <v>34</v>
      </c>
      <c r="B59" s="954"/>
      <c r="C59" s="560"/>
      <c r="D59" s="561"/>
      <c r="E59" s="23">
        <f t="shared" si="4"/>
        <v>0</v>
      </c>
      <c r="F59" s="29">
        <v>0</v>
      </c>
      <c r="G59" s="25"/>
    </row>
    <row r="60" spans="1:19">
      <c r="A60" s="32">
        <f t="shared" si="5"/>
        <v>35</v>
      </c>
      <c r="B60" s="954"/>
      <c r="C60" s="560"/>
      <c r="D60" s="561"/>
      <c r="E60" s="23">
        <f t="shared" si="4"/>
        <v>0</v>
      </c>
      <c r="F60" s="29">
        <v>0</v>
      </c>
      <c r="G60" s="25"/>
    </row>
    <row r="61" spans="1:19">
      <c r="A61" s="32">
        <f t="shared" si="5"/>
        <v>36</v>
      </c>
      <c r="B61" s="954"/>
      <c r="C61" s="560"/>
      <c r="D61" s="561"/>
      <c r="E61" s="23">
        <f t="shared" si="4"/>
        <v>0</v>
      </c>
      <c r="F61" s="29">
        <v>0</v>
      </c>
      <c r="G61" s="25"/>
    </row>
    <row r="62" spans="1:19">
      <c r="A62" s="32">
        <f t="shared" si="5"/>
        <v>37</v>
      </c>
      <c r="B62" s="954"/>
      <c r="C62" s="560"/>
      <c r="D62" s="561"/>
      <c r="E62" s="23">
        <f t="shared" si="4"/>
        <v>0</v>
      </c>
      <c r="F62" s="29">
        <v>0</v>
      </c>
      <c r="G62" s="25"/>
    </row>
    <row r="63" spans="1:19">
      <c r="A63" s="32"/>
      <c r="B63" s="24"/>
      <c r="C63" s="25"/>
      <c r="D63" s="34"/>
      <c r="E63" s="35"/>
      <c r="F63" s="34"/>
      <c r="G63" s="25"/>
    </row>
    <row r="64" spans="1:19" ht="15.75">
      <c r="A64" s="32">
        <f>+A62+1</f>
        <v>38</v>
      </c>
      <c r="B64" s="30"/>
      <c r="C64" s="1237" t="s">
        <v>628</v>
      </c>
      <c r="D64" s="36">
        <f>SUM(D47:D63)</f>
        <v>595.44000000000005</v>
      </c>
      <c r="E64" s="36">
        <f>SUM(E47:E63)</f>
        <v>595.44000000000005</v>
      </c>
      <c r="F64" s="36">
        <f>SUM(F47:F63)</f>
        <v>0</v>
      </c>
      <c r="G64" s="13"/>
    </row>
    <row r="65" spans="1:11" ht="12.75" customHeight="1">
      <c r="A65" s="32"/>
      <c r="B65" s="20"/>
      <c r="C65" s="20"/>
      <c r="D65" s="20"/>
      <c r="E65" s="20"/>
      <c r="F65" s="20"/>
      <c r="G65" s="20"/>
    </row>
    <row r="66" spans="1:11" ht="15.75">
      <c r="A66" s="32"/>
      <c r="B66" s="19"/>
      <c r="C66" s="55" t="s">
        <v>494</v>
      </c>
      <c r="D66" s="37"/>
      <c r="E66" s="37"/>
      <c r="F66" s="37"/>
      <c r="G66" s="19"/>
    </row>
    <row r="67" spans="1:11">
      <c r="A67" s="32">
        <f>+A64+1</f>
        <v>39</v>
      </c>
      <c r="B67" s="1288" t="s">
        <v>864</v>
      </c>
      <c r="C67" s="560" t="s">
        <v>802</v>
      </c>
      <c r="D67" s="561">
        <v>187009.46</v>
      </c>
      <c r="E67" s="23">
        <f>D67</f>
        <v>187009.46</v>
      </c>
      <c r="F67" s="29">
        <v>0</v>
      </c>
      <c r="G67" s="12"/>
      <c r="H67" s="44"/>
      <c r="J67" s="14"/>
      <c r="K67" s="14"/>
    </row>
    <row r="68" spans="1:11">
      <c r="A68" s="32">
        <f>+A67+1</f>
        <v>40</v>
      </c>
      <c r="B68" s="1288" t="s">
        <v>865</v>
      </c>
      <c r="C68" s="560" t="s">
        <v>803</v>
      </c>
      <c r="D68" s="561">
        <v>29130.32</v>
      </c>
      <c r="E68" s="23">
        <f>D68</f>
        <v>29130.32</v>
      </c>
      <c r="F68" s="29">
        <v>0</v>
      </c>
      <c r="G68" s="12"/>
      <c r="H68" s="44"/>
      <c r="J68" s="14"/>
      <c r="K68" s="14"/>
    </row>
    <row r="69" spans="1:11">
      <c r="A69" s="32">
        <f t="shared" ref="A69:A70" si="6">+A68+1</f>
        <v>41</v>
      </c>
      <c r="B69" s="1288" t="s">
        <v>1002</v>
      </c>
      <c r="C69" s="560" t="s">
        <v>1003</v>
      </c>
      <c r="D69" s="561">
        <v>6102.09</v>
      </c>
      <c r="E69" s="23">
        <f>D69</f>
        <v>6102.09</v>
      </c>
      <c r="F69" s="29">
        <v>0</v>
      </c>
      <c r="G69" s="12"/>
      <c r="H69" s="44"/>
      <c r="J69" s="14"/>
      <c r="K69" s="14"/>
    </row>
    <row r="70" spans="1:11">
      <c r="A70" s="32">
        <f t="shared" si="6"/>
        <v>42</v>
      </c>
      <c r="B70" s="1288" t="s">
        <v>866</v>
      </c>
      <c r="C70" s="560" t="s">
        <v>804</v>
      </c>
      <c r="D70" s="561">
        <v>4374.32</v>
      </c>
      <c r="E70" s="23">
        <v>0</v>
      </c>
      <c r="F70" s="29">
        <f>D70</f>
        <v>4374.32</v>
      </c>
      <c r="G70" s="1455"/>
      <c r="H70" s="44"/>
      <c r="J70" s="14"/>
      <c r="K70" s="14"/>
    </row>
    <row r="71" spans="1:11">
      <c r="A71" s="32">
        <f>+A70+1</f>
        <v>43</v>
      </c>
      <c r="B71" s="1288" t="s">
        <v>980</v>
      </c>
      <c r="C71" s="560" t="s">
        <v>981</v>
      </c>
      <c r="D71" s="561">
        <v>0</v>
      </c>
      <c r="E71" s="23">
        <f>D71</f>
        <v>0</v>
      </c>
      <c r="F71" s="29">
        <v>0</v>
      </c>
      <c r="G71" s="20"/>
    </row>
    <row r="72" spans="1:11">
      <c r="A72" s="32"/>
      <c r="B72" s="20"/>
      <c r="C72" s="20"/>
      <c r="D72" s="20"/>
      <c r="E72" s="20"/>
      <c r="F72" s="20"/>
      <c r="G72" s="20"/>
    </row>
    <row r="73" spans="1:11" ht="15.75">
      <c r="A73" s="32">
        <f>+A71+1</f>
        <v>44</v>
      </c>
      <c r="B73" s="20"/>
      <c r="C73" s="1237" t="s">
        <v>629</v>
      </c>
      <c r="D73" s="36">
        <f>SUM(D67:D72)</f>
        <v>226616.19</v>
      </c>
      <c r="E73" s="36">
        <f>SUM(E67:E72)</f>
        <v>222241.87</v>
      </c>
      <c r="F73" s="36">
        <f>SUM(F67:F72)</f>
        <v>4374.32</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7"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992" t="s">
        <v>408</v>
      </c>
    </row>
    <row r="2" spans="1:15" ht="15.75">
      <c r="A2" s="992" t="s">
        <v>408</v>
      </c>
    </row>
    <row r="3" spans="1:15" ht="15">
      <c r="A3" s="1484" t="str">
        <f>TCOS!$F$5</f>
        <v>AEPTCo subsidiaries in PJM</v>
      </c>
      <c r="B3" s="1484" t="str">
        <f>TCOS!$F$5</f>
        <v>AEPTCo subsidiaries in PJM</v>
      </c>
      <c r="C3" s="1484" t="str">
        <f>TCOS!$F$5</f>
        <v>AEPTCo subsidiaries in PJM</v>
      </c>
      <c r="D3" s="1484" t="str">
        <f>TCOS!$F$5</f>
        <v>AEPTCo subsidiaries in PJM</v>
      </c>
      <c r="E3" s="1484" t="str">
        <f>TCOS!$F$5</f>
        <v>AEPTCo subsidiaries in PJM</v>
      </c>
      <c r="F3" s="1484" t="str">
        <f>TCOS!$F$5</f>
        <v>AEPTCo subsidiaries in PJM</v>
      </c>
      <c r="G3" s="1484" t="str">
        <f>TCOS!$F$5</f>
        <v>AEPTCo subsidiaries in PJM</v>
      </c>
      <c r="H3" s="1484" t="str">
        <f>TCOS!$F$5</f>
        <v>AEPTCo subsidiaries in PJM</v>
      </c>
    </row>
    <row r="4" spans="1:15" ht="15">
      <c r="A4" s="1512" t="str">
        <f>"Cost of Service Formula Rate Using Actual/Projected FF1 Balances"</f>
        <v>Cost of Service Formula Rate Using Actual/Projected FF1 Balances</v>
      </c>
      <c r="B4" s="1512"/>
      <c r="C4" s="1512"/>
      <c r="D4" s="1512"/>
      <c r="E4" s="1512"/>
      <c r="F4" s="1512"/>
      <c r="G4" s="1512"/>
      <c r="H4" s="1512"/>
    </row>
    <row r="5" spans="1:15" ht="15">
      <c r="A5" s="1512" t="s">
        <v>328</v>
      </c>
      <c r="B5" s="1512"/>
      <c r="C5" s="1512"/>
      <c r="D5" s="1512"/>
      <c r="E5" s="1512"/>
      <c r="F5" s="1512"/>
      <c r="G5" s="1512"/>
      <c r="H5" s="1512"/>
    </row>
    <row r="6" spans="1:15" ht="15">
      <c r="A6" s="1513" t="str">
        <f>TCOS!F9</f>
        <v>AEP Ohio Transmission Company</v>
      </c>
      <c r="B6" s="1513"/>
      <c r="C6" s="1513"/>
      <c r="D6" s="1513"/>
      <c r="E6" s="1513"/>
      <c r="F6" s="1513"/>
      <c r="G6" s="1513"/>
    </row>
    <row r="7" spans="1:15" ht="12.75" customHeight="1">
      <c r="A7" s="562"/>
      <c r="B7" s="563"/>
      <c r="C7" s="563"/>
      <c r="D7" s="563"/>
      <c r="E7" s="563"/>
      <c r="F7" s="563"/>
      <c r="G7" s="563"/>
      <c r="H7" s="563"/>
      <c r="I7" s="563"/>
      <c r="J7" s="563"/>
      <c r="O7" s="564"/>
    </row>
    <row r="8" spans="1:15" ht="12.75" customHeight="1">
      <c r="A8" s="562"/>
      <c r="B8" s="421"/>
      <c r="C8" s="394"/>
      <c r="D8" s="394"/>
      <c r="E8" s="394"/>
      <c r="F8" s="394"/>
    </row>
    <row r="9" spans="1:15" ht="15">
      <c r="A9" s="565">
        <v>1</v>
      </c>
      <c r="B9" s="576" t="s">
        <v>833</v>
      </c>
      <c r="C9" s="567"/>
      <c r="D9" s="568"/>
      <c r="E9" s="574">
        <v>0.02</v>
      </c>
      <c r="F9" s="394"/>
      <c r="G9" s="569"/>
      <c r="H9" s="569"/>
      <c r="L9" s="570"/>
    </row>
    <row r="10" spans="1:15" ht="15">
      <c r="A10" s="570"/>
      <c r="B10" s="566" t="s">
        <v>614</v>
      </c>
      <c r="C10" s="567"/>
      <c r="D10" s="567"/>
      <c r="E10" s="575">
        <v>0.12520000000000001</v>
      </c>
      <c r="F10" s="394"/>
      <c r="G10" s="569"/>
      <c r="H10" s="569"/>
      <c r="L10" s="570"/>
    </row>
    <row r="11" spans="1:15" ht="15">
      <c r="A11" s="570"/>
      <c r="B11" s="566" t="s">
        <v>228</v>
      </c>
      <c r="C11" s="567"/>
      <c r="D11" s="567"/>
      <c r="E11" s="393"/>
      <c r="F11" s="571">
        <f>ROUND(E9*E10,4)</f>
        <v>2.5000000000000001E-3</v>
      </c>
      <c r="G11" s="569"/>
      <c r="L11" s="570"/>
    </row>
    <row r="12" spans="1:15" ht="15">
      <c r="A12" s="570"/>
      <c r="B12" s="566"/>
      <c r="C12" s="567"/>
      <c r="D12" s="567"/>
      <c r="E12" s="393"/>
      <c r="F12" s="571"/>
      <c r="G12" s="569"/>
      <c r="L12" s="570"/>
    </row>
    <row r="13" spans="1:15" ht="15">
      <c r="A13" s="570">
        <f>A9+1</f>
        <v>2</v>
      </c>
      <c r="B13" s="576" t="s">
        <v>105</v>
      </c>
      <c r="C13" s="567"/>
      <c r="D13" s="568"/>
      <c r="E13" s="574"/>
      <c r="F13" s="394"/>
      <c r="G13" s="569"/>
      <c r="L13" s="570"/>
    </row>
    <row r="14" spans="1:15" ht="15">
      <c r="A14" s="570"/>
      <c r="B14" s="566" t="s">
        <v>614</v>
      </c>
      <c r="C14" s="567"/>
      <c r="D14" s="567"/>
      <c r="E14" s="575"/>
      <c r="F14" s="394"/>
      <c r="G14" s="569"/>
      <c r="L14" s="570"/>
    </row>
    <row r="15" spans="1:15" ht="15">
      <c r="A15" s="570"/>
      <c r="B15" s="566" t="s">
        <v>228</v>
      </c>
      <c r="C15" s="567"/>
      <c r="D15" s="567"/>
      <c r="E15" s="393"/>
      <c r="F15" s="571">
        <f>ROUND(E13*E14,4)</f>
        <v>0</v>
      </c>
      <c r="G15" s="569"/>
      <c r="L15" s="570"/>
    </row>
    <row r="16" spans="1:15" ht="15">
      <c r="A16" s="570"/>
      <c r="B16" s="566"/>
      <c r="C16" s="567"/>
      <c r="D16" s="567"/>
      <c r="E16" s="393"/>
      <c r="F16" s="571"/>
      <c r="G16" s="569"/>
      <c r="L16" s="570"/>
    </row>
    <row r="17" spans="1:12" ht="15">
      <c r="A17" s="570">
        <f>A13+1</f>
        <v>3</v>
      </c>
      <c r="B17" s="576" t="s">
        <v>105</v>
      </c>
      <c r="C17" s="567"/>
      <c r="D17" s="568"/>
      <c r="E17" s="574"/>
      <c r="F17" s="394"/>
      <c r="G17" s="569"/>
      <c r="L17" s="570"/>
    </row>
    <row r="18" spans="1:12" ht="15">
      <c r="A18" s="570"/>
      <c r="B18" s="566" t="s">
        <v>614</v>
      </c>
      <c r="C18" s="567"/>
      <c r="D18" s="567"/>
      <c r="E18" s="575"/>
      <c r="F18" s="394"/>
      <c r="G18" s="569"/>
      <c r="L18" s="570"/>
    </row>
    <row r="19" spans="1:12" ht="15">
      <c r="A19" s="570"/>
      <c r="B19" s="566" t="s">
        <v>228</v>
      </c>
      <c r="C19" s="567"/>
      <c r="D19" s="567"/>
      <c r="E19" s="393"/>
      <c r="F19" s="571">
        <f>ROUND(E17*E18,4)</f>
        <v>0</v>
      </c>
      <c r="G19" s="569"/>
      <c r="L19" s="570"/>
    </row>
    <row r="20" spans="1:12" ht="15">
      <c r="A20" s="570"/>
      <c r="B20" s="566"/>
      <c r="C20" s="567"/>
      <c r="D20" s="567"/>
      <c r="E20" s="393"/>
      <c r="F20" s="571"/>
      <c r="G20" s="569"/>
      <c r="L20" s="570"/>
    </row>
    <row r="21" spans="1:12" ht="15">
      <c r="A21" s="570">
        <f>A17+1</f>
        <v>4</v>
      </c>
      <c r="B21" s="576" t="s">
        <v>105</v>
      </c>
      <c r="C21" s="567"/>
      <c r="D21" s="568"/>
      <c r="E21" s="574"/>
      <c r="F21" s="394"/>
      <c r="G21" s="569"/>
      <c r="L21" s="570"/>
    </row>
    <row r="22" spans="1:12" ht="15">
      <c r="A22" s="570"/>
      <c r="B22" s="566" t="s">
        <v>614</v>
      </c>
      <c r="C22" s="567"/>
      <c r="D22" s="567"/>
      <c r="E22" s="575"/>
      <c r="F22" s="394"/>
      <c r="G22" s="569"/>
      <c r="L22" s="570"/>
    </row>
    <row r="23" spans="1:12" ht="15">
      <c r="A23" s="570"/>
      <c r="B23" s="566" t="s">
        <v>228</v>
      </c>
      <c r="C23" s="567"/>
      <c r="D23" s="567"/>
      <c r="E23" s="393"/>
      <c r="F23" s="571">
        <f>ROUND(E21*E22,4)</f>
        <v>0</v>
      </c>
      <c r="G23" s="569"/>
      <c r="L23" s="570"/>
    </row>
    <row r="24" spans="1:12" ht="15">
      <c r="A24" s="570"/>
      <c r="B24" s="566"/>
      <c r="C24" s="567"/>
      <c r="D24" s="567"/>
      <c r="E24" s="393"/>
      <c r="F24" s="571"/>
      <c r="G24" s="569"/>
      <c r="L24" s="570"/>
    </row>
    <row r="25" spans="1:12" ht="15">
      <c r="A25" s="570">
        <f>A21+1</f>
        <v>5</v>
      </c>
      <c r="B25" s="576" t="s">
        <v>105</v>
      </c>
      <c r="C25" s="567"/>
      <c r="D25" s="568"/>
      <c r="E25" s="574"/>
      <c r="F25" s="572"/>
      <c r="G25" s="569"/>
      <c r="L25" s="570"/>
    </row>
    <row r="26" spans="1:12" ht="15">
      <c r="A26" s="570"/>
      <c r="B26" s="566" t="s">
        <v>614</v>
      </c>
      <c r="C26" s="567"/>
      <c r="D26" s="567"/>
      <c r="E26" s="575"/>
      <c r="F26" s="572"/>
      <c r="G26" s="569"/>
      <c r="L26" s="570"/>
    </row>
    <row r="27" spans="1:12" ht="15">
      <c r="A27" s="570"/>
      <c r="B27" s="566" t="s">
        <v>228</v>
      </c>
      <c r="C27" s="567"/>
      <c r="D27" s="567"/>
      <c r="E27" s="393"/>
      <c r="F27" s="571">
        <f>ROUND(E25*E26,4)</f>
        <v>0</v>
      </c>
      <c r="G27" s="569"/>
      <c r="L27" s="570"/>
    </row>
    <row r="28" spans="1:12" ht="15">
      <c r="A28" s="570"/>
      <c r="B28" s="566"/>
      <c r="C28" s="567"/>
      <c r="D28" s="567"/>
      <c r="E28" s="567"/>
      <c r="F28" s="572"/>
      <c r="G28" s="569"/>
      <c r="L28" s="570"/>
    </row>
    <row r="29" spans="1:12" ht="15.75" thickBot="1">
      <c r="A29" s="570"/>
      <c r="B29" s="393" t="s">
        <v>487</v>
      </c>
      <c r="C29" s="393"/>
      <c r="D29" s="393"/>
      <c r="E29" s="393"/>
      <c r="F29" s="573">
        <f>ROUND(SUM(F11:F28),4)</f>
        <v>2.5000000000000001E-3</v>
      </c>
      <c r="G29" s="569"/>
      <c r="L29" s="570"/>
    </row>
    <row r="30" spans="1:12" ht="13.5" thickTop="1">
      <c r="A30" s="570"/>
      <c r="G30" s="392"/>
      <c r="L30" s="570"/>
    </row>
    <row r="31" spans="1:12">
      <c r="A31" s="570"/>
      <c r="G31" s="392"/>
      <c r="H31" s="392"/>
      <c r="L31" s="570"/>
    </row>
    <row r="32" spans="1:12">
      <c r="A32" s="570"/>
      <c r="G32" s="392"/>
      <c r="H32" s="392"/>
      <c r="L32" s="570"/>
    </row>
    <row r="33" spans="1:12" ht="12.75" customHeight="1">
      <c r="A33" s="570"/>
      <c r="C33" s="393"/>
      <c r="D33" s="393"/>
      <c r="E33" s="393"/>
      <c r="F33" s="393"/>
      <c r="G33" s="392"/>
      <c r="H33" s="392"/>
      <c r="L33" s="570"/>
    </row>
    <row r="34" spans="1:12">
      <c r="A34" s="347" t="s">
        <v>287</v>
      </c>
      <c r="B34" s="347" t="s">
        <v>192</v>
      </c>
      <c r="C34" s="347"/>
      <c r="D34" s="347"/>
      <c r="E34" s="347"/>
      <c r="F34" s="347"/>
      <c r="G34" s="347"/>
      <c r="H34" s="392"/>
      <c r="I34" s="392"/>
      <c r="L34" s="392"/>
    </row>
    <row r="241" spans="2:2">
      <c r="B241" s="172"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C216"/>
  <sheetViews>
    <sheetView view="pageBreakPreview" topLeftCell="A25" zoomScale="60" zoomScaleNormal="80" zoomScalePageLayoutView="50" workbookViewId="0">
      <selection activeCell="E20" sqref="E20"/>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992" t="s">
        <v>408</v>
      </c>
    </row>
    <row r="2" spans="1:29" ht="15.75">
      <c r="A2" s="992" t="s">
        <v>408</v>
      </c>
    </row>
    <row r="3" spans="1:29" ht="18.75" customHeight="1">
      <c r="A3" s="1484" t="str">
        <f>TCOS!$F$5</f>
        <v>AEPTCo subsidiaries in PJM</v>
      </c>
      <c r="B3" s="1484" t="str">
        <f>TCOS!$F$5</f>
        <v>AEPTCo subsidiaries in PJM</v>
      </c>
      <c r="C3" s="1484" t="str">
        <f>TCOS!$F$5</f>
        <v>AEPTCo subsidiaries in PJM</v>
      </c>
      <c r="D3" s="1484" t="str">
        <f>TCOS!$F$5</f>
        <v>AEPTCo subsidiaries in PJM</v>
      </c>
      <c r="E3" s="1484" t="str">
        <f>TCOS!$F$5</f>
        <v>AEPTCo subsidiaries in PJM</v>
      </c>
      <c r="F3" s="1484" t="str">
        <f>TCOS!$F$5</f>
        <v>AEPTCo subsidiaries in PJM</v>
      </c>
      <c r="G3" s="1484" t="str">
        <f>TCOS!$F$5</f>
        <v>AEPTCo subsidiaries in PJM</v>
      </c>
      <c r="H3" s="1484" t="str">
        <f>TCOS!$F$5</f>
        <v>AEPTCo subsidiaries in PJM</v>
      </c>
      <c r="I3" s="1484" t="str">
        <f>TCOS!$F$5</f>
        <v>AEPTCo subsidiaries in PJM</v>
      </c>
      <c r="J3" s="1484" t="str">
        <f>TCOS!$F$5</f>
        <v>AEPTCo subsidiaries in PJM</v>
      </c>
      <c r="K3" s="1484" t="str">
        <f>TCOS!$F$5</f>
        <v>AEPTCo subsidiaries in PJM</v>
      </c>
      <c r="L3" s="1484" t="str">
        <f>TCOS!$F$5</f>
        <v>AEPTCo subsidiaries in PJM</v>
      </c>
      <c r="M3" s="1484" t="str">
        <f>TCOS!$F$5</f>
        <v>AEPTCo subsidiaries in PJM</v>
      </c>
    </row>
    <row r="4" spans="1:29" ht="18.75" customHeight="1">
      <c r="A4" s="1512" t="str">
        <f>"Cost of Service Formula Rate Using Actual/Projected FF1 Balances"</f>
        <v>Cost of Service Formula Rate Using Actual/Projected FF1 Balances</v>
      </c>
      <c r="B4" s="1512"/>
      <c r="C4" s="1512"/>
      <c r="D4" s="1512"/>
      <c r="E4" s="1512"/>
      <c r="F4" s="1512"/>
      <c r="G4" s="1512"/>
      <c r="H4" s="1512"/>
      <c r="I4" s="1512"/>
      <c r="J4" s="1512"/>
      <c r="K4" s="1512"/>
      <c r="L4" s="1512"/>
      <c r="M4" s="1512"/>
    </row>
    <row r="5" spans="1:29" ht="18.75" customHeight="1">
      <c r="A5" s="1512" t="s">
        <v>247</v>
      </c>
      <c r="B5" s="1512"/>
      <c r="C5" s="1512"/>
      <c r="D5" s="1512"/>
      <c r="E5" s="1512"/>
      <c r="F5" s="1512"/>
      <c r="G5" s="1512"/>
      <c r="H5" s="1512"/>
      <c r="I5" s="1512"/>
      <c r="J5" s="1512"/>
      <c r="K5" s="1512"/>
      <c r="L5" s="1512"/>
      <c r="M5" s="1512"/>
    </row>
    <row r="6" spans="1:29" ht="18.75" customHeight="1">
      <c r="A6" s="1528" t="str">
        <f>TCOS!F9</f>
        <v>AEP Ohio Transmission Company</v>
      </c>
      <c r="B6" s="1528"/>
      <c r="C6" s="1528"/>
      <c r="D6" s="1528"/>
      <c r="E6" s="1528"/>
      <c r="F6" s="1528"/>
      <c r="G6" s="1528"/>
      <c r="H6" s="1528"/>
      <c r="I6" s="1528"/>
      <c r="J6" s="1528"/>
      <c r="K6" s="1528"/>
      <c r="L6" s="1528"/>
      <c r="M6" s="1528"/>
    </row>
    <row r="7" spans="1:29" ht="18" customHeight="1">
      <c r="A7" s="1513"/>
      <c r="B7" s="1513"/>
      <c r="C7" s="1513"/>
      <c r="D7" s="1513"/>
      <c r="E7" s="1513"/>
      <c r="F7" s="1513"/>
      <c r="G7" s="1513"/>
      <c r="H7" s="1513"/>
      <c r="I7" s="1513"/>
      <c r="J7" s="1513"/>
      <c r="K7" s="1513"/>
      <c r="L7" s="1513"/>
      <c r="M7" s="1513"/>
    </row>
    <row r="8" spans="1:29" ht="18" customHeight="1">
      <c r="A8" s="1524"/>
      <c r="B8" s="1524"/>
      <c r="C8" s="1524"/>
      <c r="D8" s="1524"/>
      <c r="E8" s="1524"/>
      <c r="F8" s="1524"/>
      <c r="G8" s="1524"/>
      <c r="H8" s="1524"/>
      <c r="I8" s="1524"/>
      <c r="J8" s="1524"/>
      <c r="K8" s="1524"/>
      <c r="L8" s="1524"/>
      <c r="M8" s="1524"/>
    </row>
    <row r="9" spans="1:29" ht="18" customHeight="1">
      <c r="A9" s="520"/>
      <c r="B9" s="520"/>
      <c r="C9" s="520"/>
      <c r="D9" s="520"/>
      <c r="E9" s="520"/>
      <c r="F9" s="520"/>
      <c r="G9" s="520"/>
      <c r="H9" s="520"/>
      <c r="I9" s="520"/>
      <c r="J9" s="520"/>
      <c r="K9" s="520"/>
      <c r="L9" s="520"/>
      <c r="M9" s="520"/>
    </row>
    <row r="10" spans="1:29" ht="19.5" customHeight="1">
      <c r="A10" s="579"/>
      <c r="B10" s="580"/>
      <c r="C10" s="581" t="s">
        <v>454</v>
      </c>
      <c r="E10" s="581" t="s">
        <v>455</v>
      </c>
      <c r="G10" s="581" t="s">
        <v>456</v>
      </c>
      <c r="I10" s="581" t="s">
        <v>457</v>
      </c>
      <c r="K10" s="581" t="s">
        <v>377</v>
      </c>
      <c r="M10" s="581" t="s">
        <v>378</v>
      </c>
    </row>
    <row r="11" spans="1:29" ht="18">
      <c r="A11" s="583"/>
      <c r="B11" s="584"/>
      <c r="C11" s="584"/>
      <c r="D11" s="584"/>
      <c r="E11" s="172"/>
      <c r="F11" s="172"/>
      <c r="G11" s="172"/>
      <c r="H11" s="172"/>
      <c r="I11" s="172"/>
      <c r="J11" s="172"/>
      <c r="K11" s="172"/>
      <c r="L11" s="172"/>
      <c r="M11" s="172"/>
      <c r="Q11" s="421"/>
      <c r="R11" s="421"/>
      <c r="S11" s="421"/>
      <c r="T11" s="421"/>
      <c r="U11" s="421"/>
      <c r="V11" s="421"/>
      <c r="W11" s="421"/>
      <c r="X11" s="421"/>
      <c r="Y11" s="421"/>
      <c r="Z11" s="421"/>
      <c r="AA11" s="421"/>
      <c r="AB11" s="421"/>
      <c r="AC11" s="421"/>
    </row>
    <row r="12" spans="1:29" ht="19.5">
      <c r="A12" s="583" t="s">
        <v>461</v>
      </c>
      <c r="B12" s="584"/>
      <c r="C12" s="584"/>
      <c r="D12" s="584"/>
      <c r="E12" s="585" t="s">
        <v>412</v>
      </c>
      <c r="F12" s="583"/>
      <c r="G12" s="583"/>
      <c r="H12" s="583"/>
      <c r="I12" s="583"/>
      <c r="J12" s="583"/>
      <c r="K12" s="586"/>
      <c r="L12" s="586"/>
      <c r="M12" s="587"/>
    </row>
    <row r="13" spans="1:29" ht="19.5">
      <c r="A13" s="588" t="s">
        <v>411</v>
      </c>
      <c r="B13" s="584"/>
      <c r="C13" s="588" t="s">
        <v>102</v>
      </c>
      <c r="D13" s="584"/>
      <c r="E13" s="589" t="s">
        <v>475</v>
      </c>
      <c r="F13" s="583"/>
      <c r="G13" s="588" t="s">
        <v>106</v>
      </c>
      <c r="H13" s="583"/>
      <c r="I13" s="588" t="s">
        <v>453</v>
      </c>
      <c r="J13" s="583"/>
      <c r="K13" s="590" t="s">
        <v>473</v>
      </c>
      <c r="L13" s="591"/>
      <c r="M13" s="590" t="s">
        <v>107</v>
      </c>
    </row>
    <row r="14" spans="1:29" ht="19.5">
      <c r="A14" s="592"/>
      <c r="B14" s="580"/>
      <c r="C14" s="593"/>
      <c r="D14" s="593"/>
      <c r="E14" s="593" t="s">
        <v>325</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118</v>
      </c>
      <c r="D16" s="580"/>
      <c r="E16" s="594"/>
      <c r="F16" s="594"/>
      <c r="G16" s="599"/>
      <c r="H16" s="599"/>
      <c r="I16" s="599"/>
      <c r="J16" s="599"/>
      <c r="K16" s="599"/>
      <c r="L16" s="599"/>
      <c r="M16" s="600"/>
    </row>
    <row r="17" spans="1:15" ht="19.5">
      <c r="A17" s="579">
        <f>+A16+1</f>
        <v>2</v>
      </c>
      <c r="B17" s="580"/>
      <c r="C17" s="596" t="s">
        <v>103</v>
      </c>
      <c r="D17" s="580"/>
      <c r="E17" s="601">
        <f>+'WS H-p2 Detail of Tax Amts'!E14</f>
        <v>3779</v>
      </c>
      <c r="F17" s="594"/>
      <c r="G17" s="599"/>
      <c r="H17" s="599"/>
      <c r="I17" s="599"/>
      <c r="J17" s="599"/>
      <c r="K17" s="599"/>
      <c r="L17" s="599"/>
      <c r="M17" s="600">
        <f>+E17</f>
        <v>3779</v>
      </c>
    </row>
    <row r="18" spans="1:15" ht="19.5">
      <c r="A18" s="579"/>
      <c r="B18" s="580"/>
      <c r="C18" s="586"/>
      <c r="D18" s="580"/>
      <c r="E18" s="602"/>
      <c r="F18" s="594"/>
      <c r="G18" s="599"/>
      <c r="H18" s="599"/>
      <c r="I18" s="599"/>
      <c r="J18" s="599"/>
      <c r="K18" s="599"/>
      <c r="L18" s="599"/>
      <c r="M18" s="600"/>
    </row>
    <row r="19" spans="1:15" ht="19.5">
      <c r="A19" s="579">
        <f>+A17+1</f>
        <v>3</v>
      </c>
      <c r="B19" s="580"/>
      <c r="C19" s="598" t="s">
        <v>119</v>
      </c>
      <c r="D19" s="580"/>
      <c r="E19" s="602"/>
      <c r="F19" s="594"/>
      <c r="G19" s="599"/>
      <c r="H19" s="599"/>
      <c r="I19" s="599"/>
      <c r="J19" s="599"/>
      <c r="K19" s="599"/>
      <c r="L19" s="599"/>
      <c r="M19" s="600"/>
    </row>
    <row r="20" spans="1:15" ht="19.5">
      <c r="A20" s="579">
        <f>+A19+1</f>
        <v>4</v>
      </c>
      <c r="B20" s="580"/>
      <c r="C20" s="596" t="s">
        <v>806</v>
      </c>
      <c r="D20" s="596"/>
      <c r="E20" s="601">
        <f>'WS H-p2 Detail of Tax Amts'!E23</f>
        <v>215201130.88</v>
      </c>
      <c r="F20" s="596"/>
      <c r="G20" s="599">
        <f>+E20</f>
        <v>215201130.88</v>
      </c>
      <c r="H20" s="599"/>
      <c r="I20" s="599"/>
      <c r="J20" s="599"/>
      <c r="K20" s="599"/>
      <c r="L20" s="599"/>
      <c r="M20" s="600"/>
      <c r="O20" s="172"/>
    </row>
    <row r="21" spans="1:15" ht="19.5">
      <c r="A21" s="579">
        <f>+A20+1</f>
        <v>5</v>
      </c>
      <c r="B21" s="580"/>
      <c r="C21" s="596" t="s">
        <v>834</v>
      </c>
      <c r="D21" s="596"/>
      <c r="E21" s="601">
        <f>'WS H-p2 Detail of Tax Amts'!E30</f>
        <v>0</v>
      </c>
      <c r="F21" s="596"/>
      <c r="G21" s="599">
        <f>+E21</f>
        <v>0</v>
      </c>
      <c r="H21" s="599"/>
      <c r="I21" s="599"/>
      <c r="J21" s="599"/>
      <c r="K21" s="599"/>
      <c r="L21" s="599"/>
      <c r="M21" s="600"/>
      <c r="O21" s="172"/>
    </row>
    <row r="22" spans="1:15" ht="19.5">
      <c r="A22" s="579">
        <f>+A21+1</f>
        <v>6</v>
      </c>
      <c r="B22" s="580"/>
      <c r="C22" s="596" t="s">
        <v>834</v>
      </c>
      <c r="D22" s="596"/>
      <c r="E22" s="601">
        <f>'WS H-p2 Detail of Tax Amts'!E37</f>
        <v>0</v>
      </c>
      <c r="F22" s="596"/>
      <c r="G22" s="599">
        <f>+E22</f>
        <v>0</v>
      </c>
      <c r="H22" s="599"/>
      <c r="I22" s="599"/>
      <c r="J22" s="599"/>
      <c r="K22" s="599"/>
      <c r="L22" s="599"/>
      <c r="M22" s="600"/>
      <c r="O22" s="172"/>
    </row>
    <row r="23" spans="1:15" ht="19.5">
      <c r="A23" s="579">
        <f>+A22+1</f>
        <v>7</v>
      </c>
      <c r="B23" s="580"/>
      <c r="C23" s="596" t="s">
        <v>243</v>
      </c>
      <c r="D23" s="603"/>
      <c r="E23" s="601">
        <f>+'WS H-p2 Detail of Tax Amts'!E40</f>
        <v>0</v>
      </c>
      <c r="F23" s="594"/>
      <c r="G23" s="599">
        <f>+E23</f>
        <v>0</v>
      </c>
      <c r="H23" s="599"/>
      <c r="I23" s="599"/>
      <c r="J23" s="599"/>
      <c r="K23" s="599"/>
      <c r="L23" s="599"/>
      <c r="M23" s="600"/>
      <c r="O23" s="172"/>
    </row>
    <row r="24" spans="1:15" ht="19.5">
      <c r="A24" s="579"/>
      <c r="B24" s="580"/>
      <c r="C24" s="586"/>
      <c r="D24" s="580"/>
      <c r="E24" s="602"/>
      <c r="F24" s="594"/>
      <c r="G24" s="599"/>
      <c r="H24" s="599"/>
      <c r="I24" s="599"/>
      <c r="J24" s="599"/>
      <c r="K24" s="599"/>
      <c r="L24" s="599"/>
      <c r="M24" s="600"/>
      <c r="O24" s="604"/>
    </row>
    <row r="25" spans="1:15" ht="19.5">
      <c r="A25" s="579">
        <f>+A23+1</f>
        <v>8</v>
      </c>
      <c r="B25" s="580"/>
      <c r="C25" s="598" t="s">
        <v>120</v>
      </c>
      <c r="D25" s="580"/>
      <c r="E25" s="602"/>
      <c r="F25" s="594"/>
      <c r="G25" s="599"/>
      <c r="H25" s="599"/>
      <c r="I25" s="599"/>
      <c r="J25" s="599"/>
      <c r="K25" s="599"/>
      <c r="L25" s="599"/>
      <c r="M25" s="600"/>
      <c r="O25" s="604"/>
    </row>
    <row r="26" spans="1:15" ht="19.5">
      <c r="A26" s="579">
        <f>+A25+1</f>
        <v>9</v>
      </c>
      <c r="B26" s="580"/>
      <c r="C26" s="596" t="s">
        <v>116</v>
      </c>
      <c r="D26" s="580"/>
      <c r="E26" s="601">
        <f>+'WS H-p2 Detail of Tax Amts'!E50</f>
        <v>0</v>
      </c>
      <c r="F26" s="594"/>
      <c r="G26" s="599"/>
      <c r="H26" s="599"/>
      <c r="I26" s="599">
        <f>+E26</f>
        <v>0</v>
      </c>
      <c r="J26" s="599"/>
      <c r="K26" s="599"/>
      <c r="L26" s="599"/>
      <c r="M26" s="600"/>
      <c r="O26" s="604"/>
    </row>
    <row r="27" spans="1:15" ht="19.5">
      <c r="A27" s="579">
        <f>+A26+1</f>
        <v>10</v>
      </c>
      <c r="B27" s="580"/>
      <c r="C27" s="596" t="s">
        <v>109</v>
      </c>
      <c r="D27" s="580"/>
      <c r="E27" s="601">
        <f>+'WS H-p2 Detail of Tax Amts'!E52</f>
        <v>0</v>
      </c>
      <c r="F27" s="594"/>
      <c r="G27" s="594"/>
      <c r="H27" s="594"/>
      <c r="I27" s="600">
        <f>+E27</f>
        <v>0</v>
      </c>
      <c r="J27" s="596"/>
      <c r="K27" s="594"/>
      <c r="L27" s="594"/>
      <c r="M27" s="600"/>
    </row>
    <row r="28" spans="1:15" ht="19.5">
      <c r="A28" s="579">
        <f>+A27+1</f>
        <v>11</v>
      </c>
      <c r="B28" s="580"/>
      <c r="C28" s="596" t="s">
        <v>110</v>
      </c>
      <c r="D28" s="580"/>
      <c r="E28" s="601">
        <f>+'WS H-p2 Detail of Tax Amts'!E54</f>
        <v>0</v>
      </c>
      <c r="F28" s="594"/>
      <c r="G28" s="594"/>
      <c r="H28" s="594"/>
      <c r="I28" s="600">
        <f>+E28</f>
        <v>0</v>
      </c>
      <c r="J28" s="595"/>
      <c r="K28" s="594"/>
      <c r="L28" s="594"/>
      <c r="M28" s="600"/>
    </row>
    <row r="29" spans="1:15" ht="19.5">
      <c r="A29" s="579" t="s">
        <v>408</v>
      </c>
      <c r="B29" s="580"/>
      <c r="C29" s="594"/>
      <c r="D29" s="580"/>
      <c r="E29" s="602"/>
      <c r="F29" s="594"/>
      <c r="G29" s="594"/>
      <c r="H29" s="594"/>
      <c r="I29" s="605"/>
      <c r="J29" s="606"/>
      <c r="K29" s="607"/>
      <c r="L29" s="607"/>
      <c r="M29" s="600"/>
    </row>
    <row r="30" spans="1:15" ht="19.5">
      <c r="A30" s="579">
        <f>A28+1</f>
        <v>12</v>
      </c>
      <c r="B30" s="580"/>
      <c r="C30" s="608" t="s">
        <v>312</v>
      </c>
      <c r="D30" s="580"/>
      <c r="E30" s="609"/>
      <c r="F30" s="610"/>
      <c r="G30" s="610"/>
      <c r="H30" s="610"/>
      <c r="I30" s="611"/>
      <c r="J30" s="612"/>
      <c r="K30" s="613"/>
      <c r="L30" s="613"/>
      <c r="M30" s="614"/>
    </row>
    <row r="31" spans="1:15" ht="19.5">
      <c r="A31" s="579">
        <f>A30+1</f>
        <v>13</v>
      </c>
      <c r="B31" s="580"/>
      <c r="C31" s="596" t="s">
        <v>214</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117</v>
      </c>
      <c r="D33" s="618"/>
      <c r="E33" s="602"/>
      <c r="F33" s="594"/>
      <c r="G33" s="600"/>
      <c r="H33" s="600"/>
      <c r="I33" s="600"/>
      <c r="J33" s="600"/>
      <c r="K33" s="600"/>
      <c r="L33" s="600"/>
      <c r="M33" s="600"/>
    </row>
    <row r="34" spans="1:13" ht="19.5">
      <c r="A34" s="616">
        <f>A33+1</f>
        <v>15</v>
      </c>
      <c r="B34" s="617"/>
      <c r="C34" s="596" t="s">
        <v>213</v>
      </c>
      <c r="D34" s="618"/>
      <c r="E34" s="601">
        <f>+'WS H-p2 Detail of Tax Amts'!E62</f>
        <v>0</v>
      </c>
      <c r="F34" s="615"/>
      <c r="G34" s="600"/>
      <c r="H34" s="600"/>
      <c r="I34" s="600"/>
      <c r="J34" s="600"/>
      <c r="K34" s="600"/>
      <c r="L34" s="600"/>
      <c r="M34" s="600">
        <f>E34</f>
        <v>0</v>
      </c>
    </row>
    <row r="35" spans="1:13" ht="19.5">
      <c r="A35" s="579">
        <f>A34+1</f>
        <v>16</v>
      </c>
      <c r="B35" s="580"/>
      <c r="C35" s="596" t="s">
        <v>111</v>
      </c>
      <c r="D35" s="580"/>
      <c r="E35" s="619">
        <f>+'WS H-p2 Detail of Tax Amts'!E65</f>
        <v>0</v>
      </c>
      <c r="F35" s="594"/>
      <c r="G35" s="600"/>
      <c r="H35" s="600"/>
      <c r="I35" s="600"/>
      <c r="J35" s="600"/>
      <c r="K35" s="600">
        <f>+E35</f>
        <v>0</v>
      </c>
      <c r="L35" s="600"/>
      <c r="M35" s="600"/>
    </row>
    <row r="36" spans="1:13" ht="19.5">
      <c r="A36" s="579">
        <f t="shared" ref="A36:A41" si="0">+A35+1</f>
        <v>17</v>
      </c>
      <c r="B36" s="580"/>
      <c r="C36" s="596" t="s">
        <v>112</v>
      </c>
      <c r="D36" s="172"/>
      <c r="E36" s="619">
        <f>+'WS H-p2 Detail of Tax Amts'!E69</f>
        <v>0</v>
      </c>
      <c r="F36" s="594"/>
      <c r="G36" s="619"/>
      <c r="H36" s="619"/>
      <c r="I36" s="619"/>
      <c r="J36" s="619"/>
      <c r="K36" s="600">
        <f>+E36</f>
        <v>0</v>
      </c>
      <c r="L36" s="619"/>
      <c r="M36" s="600"/>
    </row>
    <row r="37" spans="1:13" ht="19.5">
      <c r="A37" s="579">
        <f>+A36+1</f>
        <v>18</v>
      </c>
      <c r="B37" s="580"/>
      <c r="C37" s="596" t="s">
        <v>113</v>
      </c>
      <c r="D37" s="172"/>
      <c r="E37" s="619">
        <f>'WS H-p2 Detail of Tax Amts'!E81</f>
        <v>0</v>
      </c>
      <c r="F37" s="594"/>
      <c r="G37" s="600"/>
      <c r="H37" s="600"/>
      <c r="I37" s="600"/>
      <c r="J37" s="600"/>
      <c r="K37" s="600">
        <f>+E37</f>
        <v>0</v>
      </c>
      <c r="L37" s="600"/>
      <c r="M37" s="600"/>
    </row>
    <row r="38" spans="1:13" ht="19.5">
      <c r="A38" s="579">
        <f t="shared" si="0"/>
        <v>19</v>
      </c>
      <c r="B38" s="580"/>
      <c r="C38" s="596" t="s">
        <v>114</v>
      </c>
      <c r="D38" s="580"/>
      <c r="E38" s="619">
        <f>+'WS H-p2 Detail of Tax Amts'!E86</f>
        <v>0</v>
      </c>
      <c r="F38" s="594"/>
      <c r="G38" s="600"/>
      <c r="H38" s="600"/>
      <c r="I38" s="600"/>
      <c r="J38" s="600"/>
      <c r="K38" s="600">
        <f>+E38</f>
        <v>0</v>
      </c>
      <c r="L38" s="600"/>
      <c r="M38" s="600"/>
    </row>
    <row r="39" spans="1:13" ht="19.5">
      <c r="A39" s="579">
        <f t="shared" si="0"/>
        <v>20</v>
      </c>
      <c r="B39" s="580"/>
      <c r="C39" s="596" t="s">
        <v>115</v>
      </c>
      <c r="D39" s="580"/>
      <c r="E39" s="619">
        <f>+'WS H-p2 Detail of Tax Amts'!E89</f>
        <v>175722</v>
      </c>
      <c r="F39" s="615"/>
      <c r="G39" s="600"/>
      <c r="H39" s="600"/>
      <c r="I39" s="600"/>
      <c r="J39" s="600"/>
      <c r="K39" s="600"/>
      <c r="L39" s="600"/>
      <c r="M39" s="600">
        <f>+E39</f>
        <v>175722</v>
      </c>
    </row>
    <row r="40" spans="1:13" ht="19.5">
      <c r="A40" s="579">
        <f t="shared" si="0"/>
        <v>21</v>
      </c>
      <c r="B40" s="594"/>
      <c r="C40" s="596" t="s">
        <v>104</v>
      </c>
      <c r="D40" s="594"/>
      <c r="E40" s="619">
        <f>+'WS H-p2 Detail of Tax Amts'!E95</f>
        <v>0</v>
      </c>
      <c r="F40" s="594"/>
      <c r="G40" s="600"/>
      <c r="H40" s="600"/>
      <c r="I40" s="600"/>
      <c r="J40" s="600"/>
      <c r="K40" s="600"/>
      <c r="L40" s="600"/>
      <c r="M40" s="600">
        <f>+E40</f>
        <v>0</v>
      </c>
    </row>
    <row r="41" spans="1:13" ht="19.5">
      <c r="A41" s="579">
        <f t="shared" si="0"/>
        <v>22</v>
      </c>
      <c r="B41" s="594"/>
      <c r="C41" s="596" t="s">
        <v>400</v>
      </c>
      <c r="D41" s="615"/>
      <c r="E41" s="619">
        <v>0</v>
      </c>
      <c r="F41" s="615"/>
      <c r="G41" s="600"/>
      <c r="H41" s="600"/>
      <c r="I41" s="600"/>
      <c r="J41" s="600"/>
      <c r="K41" s="600"/>
      <c r="L41" s="600"/>
      <c r="M41" s="600">
        <f>+E41</f>
        <v>0</v>
      </c>
    </row>
    <row r="42" spans="1:13" ht="19.5">
      <c r="A42" s="313"/>
      <c r="B42" s="208"/>
      <c r="C42" s="596"/>
      <c r="D42" s="172"/>
      <c r="E42" s="172"/>
      <c r="F42" s="594"/>
      <c r="H42" s="620"/>
      <c r="I42" s="621"/>
      <c r="J42" s="621"/>
      <c r="K42" s="607"/>
      <c r="L42" s="622"/>
      <c r="M42" s="622"/>
    </row>
    <row r="43" spans="1:13" ht="20.25" thickBot="1">
      <c r="A43" s="623">
        <f>+A41+1</f>
        <v>23</v>
      </c>
      <c r="B43" s="208"/>
      <c r="C43" s="596" t="s">
        <v>108</v>
      </c>
      <c r="D43" s="172"/>
      <c r="E43" s="624">
        <f>SUM(E17:E41)</f>
        <v>215380631.88</v>
      </c>
      <c r="F43" s="594"/>
      <c r="G43" s="624">
        <f>SUM(G17:G41)</f>
        <v>215201130.88</v>
      </c>
      <c r="H43" s="620"/>
      <c r="I43" s="624">
        <f>SUM(I17:I41)</f>
        <v>0</v>
      </c>
      <c r="J43" s="621"/>
      <c r="K43" s="624">
        <f>SUM(K17:K41)</f>
        <v>0</v>
      </c>
      <c r="L43" s="622"/>
      <c r="M43" s="624">
        <f>SUM(M17:M41)</f>
        <v>179501</v>
      </c>
    </row>
    <row r="44" spans="1:13" ht="20.25" thickTop="1">
      <c r="A44" s="313"/>
      <c r="B44" s="208"/>
      <c r="C44" s="596" t="s">
        <v>173</v>
      </c>
      <c r="D44" s="172"/>
      <c r="E44" s="172"/>
      <c r="F44" s="594"/>
      <c r="G44" s="620"/>
      <c r="H44" s="620"/>
      <c r="I44" s="621"/>
      <c r="J44" s="203"/>
      <c r="K44" s="622"/>
      <c r="L44" s="622"/>
      <c r="M44" s="622"/>
    </row>
    <row r="45" spans="1:13" ht="19.5">
      <c r="A45" s="313"/>
      <c r="B45" s="208"/>
      <c r="C45" s="596" t="s">
        <v>5</v>
      </c>
      <c r="D45" s="172"/>
      <c r="E45" s="172"/>
      <c r="F45" s="594"/>
      <c r="G45" s="620"/>
      <c r="H45" s="620"/>
      <c r="I45" s="621"/>
      <c r="J45" s="203"/>
      <c r="K45" s="622"/>
      <c r="L45" s="622"/>
      <c r="M45" s="622"/>
    </row>
    <row r="46" spans="1:13" ht="19.5">
      <c r="A46" s="313"/>
      <c r="B46" s="208"/>
      <c r="C46" s="1527" t="s">
        <v>242</v>
      </c>
      <c r="D46" s="1527"/>
      <c r="E46" s="1527"/>
      <c r="F46" s="1527"/>
      <c r="G46" s="1527"/>
      <c r="H46" s="1527"/>
      <c r="I46" s="1527"/>
      <c r="J46" s="1527"/>
      <c r="K46" s="1527"/>
      <c r="L46" s="1527"/>
      <c r="M46" s="1527"/>
    </row>
    <row r="47" spans="1:13" ht="78">
      <c r="A47" s="579"/>
      <c r="C47" s="594"/>
      <c r="D47" s="594"/>
      <c r="E47" s="625" t="s">
        <v>313</v>
      </c>
      <c r="G47" s="626" t="s">
        <v>409</v>
      </c>
      <c r="H47" s="626"/>
      <c r="I47" s="625" t="s">
        <v>314</v>
      </c>
      <c r="J47" s="626"/>
      <c r="K47" s="626" t="s">
        <v>128</v>
      </c>
      <c r="L47" s="626"/>
      <c r="M47" s="626" t="s">
        <v>412</v>
      </c>
    </row>
    <row r="48" spans="1:13" ht="19.5">
      <c r="A48" s="627">
        <f>+A43+1</f>
        <v>24</v>
      </c>
      <c r="B48" s="628"/>
      <c r="C48" s="629" t="str">
        <f>"Functionalized Net Plant (TCOS, Lns "&amp;TCOS!B79&amp;" thru "&amp;TCOS!B82&amp;")"</f>
        <v>Functionalized Net Plant (TCOS, Lns 33 thru 36)</v>
      </c>
      <c r="D48" s="615"/>
      <c r="E48" s="630">
        <v>0</v>
      </c>
      <c r="F48" s="629"/>
      <c r="G48" s="630">
        <f>+TCOS!G79</f>
        <v>4601796948.8069229</v>
      </c>
      <c r="H48" s="629"/>
      <c r="I48" s="630">
        <v>0</v>
      </c>
      <c r="J48" s="629"/>
      <c r="K48" s="631">
        <f>+TCOS!G80</f>
        <v>161444901.11307693</v>
      </c>
      <c r="L48" s="615"/>
      <c r="M48" s="632">
        <f>SUM(E48:K48)</f>
        <v>4763241849.9200001</v>
      </c>
    </row>
    <row r="49" spans="1:21" ht="19.5">
      <c r="A49" s="627"/>
      <c r="B49" s="628"/>
      <c r="C49" s="586" t="s">
        <v>805</v>
      </c>
      <c r="D49" s="615"/>
      <c r="E49" s="632"/>
      <c r="F49" s="615"/>
      <c r="G49" s="633"/>
      <c r="H49" s="615"/>
      <c r="I49" s="632"/>
      <c r="J49" s="615"/>
      <c r="K49" s="634"/>
      <c r="L49" s="615"/>
      <c r="M49" s="635"/>
    </row>
    <row r="50" spans="1:21" ht="19.5">
      <c r="A50" s="627">
        <f>+A48+1</f>
        <v>25</v>
      </c>
      <c r="B50" s="628"/>
      <c r="C50" s="615" t="str">
        <f>"Percentage of Plant in "&amp;C49&amp;""</f>
        <v>Percentage of Plant in OHIO JURISDICTION</v>
      </c>
      <c r="D50" s="615"/>
      <c r="E50" s="650"/>
      <c r="F50" s="636"/>
      <c r="G50" s="1289">
        <v>1</v>
      </c>
      <c r="H50" s="636"/>
      <c r="I50" s="650"/>
      <c r="J50" s="636"/>
      <c r="K50" s="650">
        <v>1</v>
      </c>
      <c r="L50" s="615"/>
      <c r="M50" s="635"/>
    </row>
    <row r="51" spans="1:21" ht="19.5">
      <c r="A51" s="627">
        <f t="shared" ref="A51:A58" si="1">+A50+1</f>
        <v>26</v>
      </c>
      <c r="B51" s="628"/>
      <c r="C51" s="629" t="str">
        <f>"Net Plant in "&amp;C49&amp;" (Ln "&amp;A48&amp;" * Ln "&amp;A50&amp;")"</f>
        <v>Net Plant in OHIO JURISDICTION (Ln 24 * Ln 25)</v>
      </c>
      <c r="D51" s="615"/>
      <c r="E51" s="632">
        <f>+E48*E50</f>
        <v>0</v>
      </c>
      <c r="F51" s="615"/>
      <c r="G51" s="632">
        <f>+G48*G50</f>
        <v>4601796948.8069229</v>
      </c>
      <c r="H51" s="615"/>
      <c r="I51" s="632">
        <f>+I48*I50</f>
        <v>0</v>
      </c>
      <c r="J51" s="615"/>
      <c r="K51" s="632">
        <f>+K48*K50</f>
        <v>161444901.11307693</v>
      </c>
      <c r="L51" s="615"/>
      <c r="M51" s="632">
        <f>SUM(E51:K51)</f>
        <v>4763241849.9200001</v>
      </c>
      <c r="O51" s="172"/>
    </row>
    <row r="52" spans="1:21" ht="19.5">
      <c r="A52" s="627">
        <f t="shared" si="1"/>
        <v>27</v>
      </c>
      <c r="B52" s="628"/>
      <c r="C52" s="629" t="s">
        <v>543</v>
      </c>
      <c r="D52" s="615"/>
      <c r="E52" s="650"/>
      <c r="F52" s="615"/>
      <c r="G52" s="637"/>
      <c r="H52" s="615"/>
      <c r="I52" s="637"/>
      <c r="J52" s="615"/>
      <c r="K52" s="638"/>
      <c r="L52" s="615"/>
      <c r="M52" s="632"/>
      <c r="O52" s="172"/>
    </row>
    <row r="53" spans="1:21" ht="19.5">
      <c r="A53" s="627">
        <f t="shared" si="1"/>
        <v>28</v>
      </c>
      <c r="B53" s="628"/>
      <c r="C53" s="615" t="str">
        <f>"Taxable Property Basis (Ln "&amp;A51&amp;" - Ln "&amp;A52&amp;")"</f>
        <v>Taxable Property Basis (Ln 26 - Ln 27)</v>
      </c>
      <c r="D53" s="615"/>
      <c r="E53" s="632">
        <f>+E51-E52</f>
        <v>0</v>
      </c>
      <c r="F53" s="615"/>
      <c r="G53" s="632">
        <f>+G51-G52</f>
        <v>4601796948.8069229</v>
      </c>
      <c r="H53" s="615"/>
      <c r="I53" s="632">
        <f>+I51-I52</f>
        <v>0</v>
      </c>
      <c r="J53" s="615"/>
      <c r="K53" s="632">
        <f>+K51-K52</f>
        <v>161444901.11307693</v>
      </c>
      <c r="L53" s="615"/>
      <c r="M53" s="632">
        <f>SUM(E53:K53)</f>
        <v>4763241849.9200001</v>
      </c>
      <c r="O53" s="172"/>
    </row>
    <row r="54" spans="1:21" ht="19.5">
      <c r="A54" s="627">
        <f t="shared" si="1"/>
        <v>29</v>
      </c>
      <c r="B54" s="628"/>
      <c r="C54" s="619" t="s">
        <v>240</v>
      </c>
      <c r="D54" s="615"/>
      <c r="E54" s="650"/>
      <c r="F54" s="636"/>
      <c r="G54" s="650"/>
      <c r="H54" s="636"/>
      <c r="I54" s="650"/>
      <c r="J54" s="636"/>
      <c r="K54" s="650"/>
      <c r="L54" s="615"/>
      <c r="M54" s="632">
        <f>SUM(E54:K54)</f>
        <v>0</v>
      </c>
      <c r="O54" s="172"/>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2"/>
      <c r="P55" s="172"/>
      <c r="Q55" s="172"/>
      <c r="R55" s="172"/>
      <c r="S55" s="172"/>
      <c r="T55" s="172"/>
      <c r="U55" s="172"/>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2"/>
      <c r="P56" s="172"/>
      <c r="Q56" s="172"/>
      <c r="R56" s="172"/>
      <c r="S56" s="172"/>
      <c r="T56" s="172"/>
      <c r="U56" s="172"/>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2"/>
      <c r="P57" s="172"/>
      <c r="Q57" s="172"/>
      <c r="R57" s="172"/>
      <c r="S57" s="172"/>
      <c r="T57" s="172"/>
      <c r="U57" s="172"/>
    </row>
    <row r="58" spans="1:21" ht="19.5">
      <c r="A58" s="627">
        <f t="shared" si="1"/>
        <v>33</v>
      </c>
      <c r="B58" s="628"/>
      <c r="C58" s="615" t="str">
        <f>"Weighted "&amp;C49&amp;" Plant (Ln "&amp;A55&amp;" + "&amp;A57&amp;")"</f>
        <v>Weighted OHIO JURISDICTION Plant (Ln 30 + 32)</v>
      </c>
      <c r="D58" s="615"/>
      <c r="E58" s="632">
        <f>+E55+E57</f>
        <v>0</v>
      </c>
      <c r="F58" s="615"/>
      <c r="G58" s="634">
        <f>+G55+G57</f>
        <v>0</v>
      </c>
      <c r="H58" s="615"/>
      <c r="I58" s="632">
        <f>+I55+I57</f>
        <v>0</v>
      </c>
      <c r="J58" s="615"/>
      <c r="K58" s="632">
        <f>+K55+K57</f>
        <v>0</v>
      </c>
      <c r="L58" s="615"/>
      <c r="M58" s="632">
        <f>SUM(E58:K58)-SUM(E57:K57)</f>
        <v>0</v>
      </c>
      <c r="O58" s="172"/>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2"/>
      <c r="L59" s="615"/>
      <c r="M59" s="632"/>
      <c r="O59" s="172"/>
    </row>
    <row r="60" spans="1:21" ht="19.5">
      <c r="A60" s="627"/>
      <c r="B60" s="628"/>
      <c r="C60" s="647" t="s">
        <v>612</v>
      </c>
      <c r="D60" s="615"/>
      <c r="E60" s="632"/>
      <c r="F60" s="615"/>
      <c r="G60" s="641"/>
      <c r="H60" s="615"/>
      <c r="I60" s="632"/>
      <c r="J60" s="615"/>
      <c r="K60" s="633"/>
      <c r="L60" s="615"/>
      <c r="M60" s="632"/>
      <c r="O60" s="172"/>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2"/>
    </row>
    <row r="62" spans="1:21" ht="19.5">
      <c r="A62" s="627">
        <f t="shared" ref="A62:A68" si="2">+A61+1</f>
        <v>36</v>
      </c>
      <c r="B62" s="628"/>
      <c r="C62" s="629" t="s">
        <v>542</v>
      </c>
      <c r="D62" s="615"/>
      <c r="E62" s="650"/>
      <c r="F62" s="615"/>
      <c r="G62" s="637"/>
      <c r="H62" s="615"/>
      <c r="I62" s="637"/>
      <c r="J62" s="615"/>
      <c r="K62" s="638"/>
      <c r="L62" s="615"/>
      <c r="M62" s="632"/>
      <c r="O62" s="172"/>
    </row>
    <row r="63" spans="1:21" ht="19.5">
      <c r="A63" s="627">
        <f t="shared" si="2"/>
        <v>37</v>
      </c>
      <c r="B63" s="628"/>
      <c r="C63" s="615" t="s">
        <v>241</v>
      </c>
      <c r="D63" s="615"/>
      <c r="E63" s="632">
        <f>+E61-E62</f>
        <v>0</v>
      </c>
      <c r="F63" s="615"/>
      <c r="G63" s="632">
        <f>+G61-G62</f>
        <v>0</v>
      </c>
      <c r="H63" s="615"/>
      <c r="I63" s="632">
        <f>+I61-I62</f>
        <v>0</v>
      </c>
      <c r="J63" s="615"/>
      <c r="K63" s="632">
        <f>+K61-K62</f>
        <v>0</v>
      </c>
      <c r="L63" s="615"/>
      <c r="M63" s="632">
        <f>SUM(E63:K63)</f>
        <v>0</v>
      </c>
      <c r="O63" s="172"/>
    </row>
    <row r="64" spans="1:21" ht="19.5">
      <c r="A64" s="627">
        <f t="shared" si="2"/>
        <v>38</v>
      </c>
      <c r="B64" s="628"/>
      <c r="C64" s="619" t="s">
        <v>240</v>
      </c>
      <c r="D64" s="615"/>
      <c r="E64" s="650"/>
      <c r="F64" s="636"/>
      <c r="G64" s="650"/>
      <c r="H64" s="636"/>
      <c r="I64" s="650"/>
      <c r="J64" s="636"/>
      <c r="K64" s="650"/>
      <c r="L64" s="615"/>
      <c r="M64" s="632"/>
      <c r="O64" s="172"/>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2"/>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2"/>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2"/>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2"/>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2"/>
      <c r="K69" s="172"/>
      <c r="L69" s="615"/>
      <c r="M69" s="632"/>
      <c r="O69" s="172"/>
    </row>
    <row r="70" spans="1:15" ht="19.5">
      <c r="A70" s="627"/>
      <c r="B70" s="628"/>
      <c r="C70" s="615"/>
      <c r="D70" s="615"/>
      <c r="E70" s="619"/>
      <c r="F70" s="619"/>
      <c r="G70" s="619"/>
      <c r="H70" s="619"/>
      <c r="I70" s="619"/>
      <c r="J70" s="615"/>
      <c r="K70" s="642"/>
      <c r="L70" s="615"/>
      <c r="M70" s="619"/>
      <c r="O70" s="172"/>
    </row>
    <row r="71" spans="1:15" ht="19.5">
      <c r="A71" s="627"/>
      <c r="B71" s="628"/>
      <c r="D71" s="615"/>
      <c r="E71" s="642"/>
      <c r="F71" s="615"/>
      <c r="G71" s="642"/>
      <c r="H71" s="615"/>
      <c r="I71" s="642"/>
      <c r="J71" s="615"/>
      <c r="K71" s="642"/>
      <c r="L71" s="615"/>
      <c r="M71" s="619"/>
      <c r="O71" s="172"/>
    </row>
    <row r="72" spans="1:15" ht="12.75">
      <c r="O72" s="172"/>
    </row>
    <row r="73" spans="1:15" ht="12.75">
      <c r="O73" s="172"/>
    </row>
    <row r="74" spans="1:15" ht="12.75">
      <c r="G74" s="645"/>
      <c r="O74" s="172"/>
    </row>
    <row r="215" spans="7:7" ht="15.75" thickBot="1"/>
    <row r="216" spans="7:7" ht="20.25" thickBot="1">
      <c r="G216" s="646"/>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123"/>
  <sheetViews>
    <sheetView view="pageBreakPreview" zoomScale="55" zoomScaleNormal="60" zoomScaleSheetLayoutView="55" workbookViewId="0">
      <selection activeCell="G17" sqref="G17"/>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92" t="s">
        <v>408</v>
      </c>
    </row>
    <row r="2" spans="1:20" ht="15.75">
      <c r="A2" s="992" t="s">
        <v>408</v>
      </c>
    </row>
    <row r="3" spans="1:20" ht="18.75" customHeight="1">
      <c r="A3" s="1492" t="str">
        <f>TCOS!$F$5</f>
        <v>AEPTCo subsidiaries in PJM</v>
      </c>
      <c r="B3" s="1492" t="str">
        <f>TCOS!$F$5</f>
        <v>AEPTCo subsidiaries in PJM</v>
      </c>
      <c r="C3" s="1492" t="str">
        <f>TCOS!$F$5</f>
        <v>AEPTCo subsidiaries in PJM</v>
      </c>
      <c r="D3" s="1492" t="str">
        <f>TCOS!$F$5</f>
        <v>AEPTCo subsidiaries in PJM</v>
      </c>
      <c r="E3" s="1492" t="str">
        <f>TCOS!$F$5</f>
        <v>AEPTCo subsidiaries in PJM</v>
      </c>
      <c r="F3" s="1530"/>
      <c r="G3" s="1530"/>
    </row>
    <row r="4" spans="1:20" ht="18.75" customHeight="1">
      <c r="A4" s="1492" t="str">
        <f>"Cost of Service Formula Rate Using Actual/Projected FF1 Balances"</f>
        <v>Cost of Service Formula Rate Using Actual/Projected FF1 Balances</v>
      </c>
      <c r="B4" s="1492"/>
      <c r="C4" s="1492"/>
      <c r="D4" s="1492"/>
      <c r="E4" s="1492"/>
      <c r="F4" s="1530"/>
      <c r="G4" s="1530"/>
      <c r="H4" s="1492"/>
      <c r="I4" s="1492"/>
      <c r="J4" s="1492"/>
      <c r="K4" s="1492"/>
      <c r="L4" s="1492"/>
      <c r="M4" s="1530"/>
    </row>
    <row r="5" spans="1:20" ht="18.75" customHeight="1">
      <c r="A5" s="1485" t="s">
        <v>246</v>
      </c>
      <c r="B5" s="1485"/>
      <c r="C5" s="1485"/>
      <c r="D5" s="1485"/>
      <c r="E5" s="1485"/>
      <c r="F5" s="1530"/>
      <c r="G5" s="1530"/>
    </row>
    <row r="6" spans="1:20" ht="18" customHeight="1">
      <c r="A6" s="1532" t="str">
        <f>+TCOS!F9</f>
        <v>AEP Ohio Transmission Company</v>
      </c>
      <c r="B6" s="1532"/>
      <c r="C6" s="1532"/>
      <c r="D6" s="1532"/>
      <c r="E6" s="1532"/>
      <c r="F6" s="1533"/>
      <c r="G6" s="1533"/>
      <c r="H6" s="133"/>
      <c r="I6" s="133"/>
      <c r="J6" s="133"/>
      <c r="K6" s="133"/>
      <c r="L6" s="133"/>
      <c r="M6" s="133"/>
    </row>
    <row r="7" spans="1:20" ht="18" customHeight="1">
      <c r="A7" s="81"/>
      <c r="B7" s="81"/>
      <c r="C7" s="81"/>
      <c r="D7" s="81"/>
      <c r="E7" s="81"/>
      <c r="F7" s="81"/>
    </row>
    <row r="8" spans="1:20" ht="19.5" customHeight="1">
      <c r="A8" s="61"/>
      <c r="B8" s="62"/>
      <c r="C8" s="19" t="s">
        <v>454</v>
      </c>
      <c r="E8" s="19" t="s">
        <v>455</v>
      </c>
      <c r="F8" s="116" t="s">
        <v>456</v>
      </c>
      <c r="G8" s="116" t="s">
        <v>457</v>
      </c>
    </row>
    <row r="9" spans="1:20" ht="18">
      <c r="A9" s="96"/>
      <c r="B9" s="97"/>
      <c r="C9" s="97"/>
      <c r="D9" s="97"/>
      <c r="E9"/>
      <c r="F9" s="7"/>
      <c r="G9" s="117"/>
      <c r="H9" s="21"/>
      <c r="I9" s="21"/>
      <c r="J9" s="21"/>
      <c r="K9" s="21"/>
      <c r="L9" s="21"/>
      <c r="M9" s="21"/>
      <c r="N9" s="21"/>
      <c r="O9" s="21"/>
      <c r="P9" s="21"/>
      <c r="Q9" s="21"/>
      <c r="R9" s="21"/>
      <c r="S9" s="21"/>
      <c r="T9" s="21"/>
    </row>
    <row r="10" spans="1:20" ht="18">
      <c r="A10" s="96" t="s">
        <v>461</v>
      </c>
      <c r="B10" s="97"/>
      <c r="C10" s="97"/>
      <c r="D10" s="97"/>
      <c r="E10" s="98" t="s">
        <v>412</v>
      </c>
      <c r="F10" s="118" t="s">
        <v>2</v>
      </c>
      <c r="G10" s="119"/>
    </row>
    <row r="11" spans="1:20" ht="18">
      <c r="A11" s="99" t="s">
        <v>411</v>
      </c>
      <c r="B11" s="120"/>
      <c r="C11" s="99" t="s">
        <v>260</v>
      </c>
      <c r="D11" s="120"/>
      <c r="E11" s="100" t="s">
        <v>475</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3779</v>
      </c>
      <c r="F14" s="70"/>
      <c r="G14" s="122"/>
    </row>
    <row r="15" spans="1:20" ht="19.5">
      <c r="A15" s="61"/>
      <c r="B15" s="62"/>
      <c r="C15" s="57"/>
      <c r="D15" s="1336"/>
      <c r="E15" s="123"/>
      <c r="F15" s="1053">
        <v>968</v>
      </c>
      <c r="G15" s="1001" t="s">
        <v>1087</v>
      </c>
    </row>
    <row r="16" spans="1:20" ht="19.5">
      <c r="A16" s="61"/>
      <c r="B16" s="62"/>
      <c r="C16" s="57"/>
      <c r="D16" s="1336"/>
      <c r="E16" s="123"/>
      <c r="F16" s="651">
        <v>2811</v>
      </c>
      <c r="G16" s="1001" t="s">
        <v>1088</v>
      </c>
    </row>
    <row r="17" spans="1:9" ht="19.5">
      <c r="A17" s="61"/>
      <c r="B17" s="62"/>
      <c r="C17" s="57"/>
      <c r="D17" s="62"/>
      <c r="E17" s="123"/>
      <c r="F17" s="1456"/>
      <c r="G17" s="124" t="s">
        <v>408</v>
      </c>
    </row>
    <row r="18" spans="1:9" ht="19.5">
      <c r="A18" s="1054"/>
      <c r="B18" s="1055"/>
      <c r="C18" s="995"/>
      <c r="D18" s="1055"/>
      <c r="E18" s="994"/>
      <c r="F18" s="1457"/>
      <c r="G18" s="993"/>
      <c r="H18" s="996"/>
      <c r="I18" s="996"/>
    </row>
    <row r="19" spans="1:9" ht="18">
      <c r="A19" s="1238"/>
      <c r="B19" s="1239"/>
      <c r="C19" s="1241" t="s">
        <v>454</v>
      </c>
      <c r="D19" s="1241" t="s">
        <v>455</v>
      </c>
      <c r="E19" s="1242" t="s">
        <v>456</v>
      </c>
      <c r="F19" s="1242" t="s">
        <v>457</v>
      </c>
      <c r="G19" s="1242" t="s">
        <v>377</v>
      </c>
      <c r="H19" s="1243" t="s">
        <v>378</v>
      </c>
      <c r="I19" s="1242" t="s">
        <v>379</v>
      </c>
    </row>
    <row r="20" spans="1:9" ht="47.25">
      <c r="A20" s="1238"/>
      <c r="B20" s="1239"/>
      <c r="C20" s="1244" t="s">
        <v>692</v>
      </c>
      <c r="D20" s="1245" t="s">
        <v>688</v>
      </c>
      <c r="E20" s="1246" t="s">
        <v>689</v>
      </c>
      <c r="F20" s="1246" t="s">
        <v>690</v>
      </c>
      <c r="G20" s="1246" t="s">
        <v>4</v>
      </c>
      <c r="H20" s="1247" t="s">
        <v>691</v>
      </c>
      <c r="I20" s="1247" t="s">
        <v>693</v>
      </c>
    </row>
    <row r="21" spans="1:9" ht="19.5">
      <c r="A21" s="1238"/>
      <c r="B21" s="1239"/>
      <c r="C21" s="70"/>
      <c r="D21" s="1239"/>
      <c r="E21" s="128"/>
      <c r="F21" s="999"/>
      <c r="G21" s="122"/>
      <c r="H21" s="122"/>
      <c r="I21" s="122"/>
    </row>
    <row r="22" spans="1:9" ht="58.5">
      <c r="A22" s="1238">
        <f>+A14+1</f>
        <v>3</v>
      </c>
      <c r="B22" s="1239"/>
      <c r="C22" s="1240" t="str">
        <f>"Real Estate and Personal Property Taxes Total
 (Ln "&amp;A23&amp;" + Ln "&amp;A30 &amp;" + Ln "&amp;A37&amp;" + Ln "&amp;A40&amp;")"</f>
        <v>Real Estate and Personal Property Taxes Total
 (Ln 4 + Ln 5 + Ln 6 + Ln 7)</v>
      </c>
      <c r="D22" s="1239"/>
      <c r="E22" s="1057">
        <f>E23+E30+E37+E40</f>
        <v>215201130.88</v>
      </c>
      <c r="F22" s="128"/>
      <c r="G22" s="70"/>
      <c r="H22" s="122"/>
      <c r="I22" s="1057">
        <f>I23+I30+I37+I40</f>
        <v>215201130.88</v>
      </c>
    </row>
    <row r="23" spans="1:9" ht="19.5">
      <c r="A23" s="61">
        <f>+A22+1</f>
        <v>4</v>
      </c>
      <c r="B23" s="62"/>
      <c r="C23" s="60" t="s">
        <v>806</v>
      </c>
      <c r="D23" s="60"/>
      <c r="E23" s="128">
        <f>SUM(F24:F29)</f>
        <v>215201130.88</v>
      </c>
      <c r="F23" s="123"/>
      <c r="G23" s="70"/>
      <c r="I23" s="128">
        <f>SUM(I24:I29)</f>
        <v>215201130.88</v>
      </c>
    </row>
    <row r="24" spans="1:9" ht="19.5">
      <c r="A24" s="61"/>
      <c r="B24" s="62"/>
      <c r="C24" s="60"/>
      <c r="D24" s="1336">
        <v>2021</v>
      </c>
      <c r="E24" s="128" t="s">
        <v>408</v>
      </c>
      <c r="F24" s="651">
        <v>-3016869.12</v>
      </c>
      <c r="G24" s="1001" t="s">
        <v>1082</v>
      </c>
      <c r="H24" s="1000">
        <v>1</v>
      </c>
      <c r="I24" s="999">
        <f t="shared" ref="I24:I29" si="0">F24*H24</f>
        <v>-3016869.12</v>
      </c>
    </row>
    <row r="25" spans="1:9" ht="19.5">
      <c r="A25" s="61"/>
      <c r="B25" s="62"/>
      <c r="C25" s="60"/>
      <c r="D25" s="1336">
        <v>2022</v>
      </c>
      <c r="E25" s="128"/>
      <c r="F25" s="651">
        <v>218218000</v>
      </c>
      <c r="G25" s="1001" t="s">
        <v>1083</v>
      </c>
      <c r="H25" s="1000">
        <v>1</v>
      </c>
      <c r="I25" s="999">
        <f t="shared" si="0"/>
        <v>218218000</v>
      </c>
    </row>
    <row r="26" spans="1:9" ht="19.5">
      <c r="A26" s="61"/>
      <c r="B26" s="62"/>
      <c r="C26" s="60"/>
      <c r="D26" s="1336"/>
      <c r="E26" s="128"/>
      <c r="F26" s="651"/>
      <c r="G26" s="1001"/>
      <c r="H26" s="1000"/>
      <c r="I26" s="999">
        <f t="shared" si="0"/>
        <v>0</v>
      </c>
    </row>
    <row r="27" spans="1:9" ht="19.5">
      <c r="A27" s="61"/>
      <c r="B27" s="62"/>
      <c r="C27" s="60"/>
      <c r="D27" s="60"/>
      <c r="E27" s="128"/>
      <c r="F27" s="651"/>
      <c r="G27" s="1001"/>
      <c r="H27" s="1053"/>
      <c r="I27" s="999">
        <f t="shared" si="0"/>
        <v>0</v>
      </c>
    </row>
    <row r="28" spans="1:9" ht="19.5">
      <c r="A28" s="61"/>
      <c r="B28" s="62"/>
      <c r="C28" s="60"/>
      <c r="D28" s="60"/>
      <c r="E28" s="128"/>
      <c r="F28" s="651"/>
      <c r="G28" s="1001"/>
      <c r="H28" s="1053"/>
      <c r="I28" s="999">
        <f t="shared" si="0"/>
        <v>0</v>
      </c>
    </row>
    <row r="29" spans="1:9" ht="19.5">
      <c r="A29" s="61"/>
      <c r="B29" s="62"/>
      <c r="C29" s="60"/>
      <c r="D29" s="60"/>
      <c r="E29" s="128"/>
      <c r="F29" s="651"/>
      <c r="G29" s="1001"/>
      <c r="H29" s="1053"/>
      <c r="I29" s="999">
        <f t="shared" si="0"/>
        <v>0</v>
      </c>
    </row>
    <row r="30" spans="1:9" ht="19.5">
      <c r="A30" s="61">
        <f>+A23+1</f>
        <v>5</v>
      </c>
      <c r="B30" s="62"/>
      <c r="C30" s="60" t="s">
        <v>610</v>
      </c>
      <c r="D30" s="60"/>
      <c r="E30" s="128">
        <f>SUM(F31:F36)</f>
        <v>0</v>
      </c>
      <c r="F30" s="80"/>
      <c r="G30" s="70"/>
      <c r="I30" s="1052">
        <f>SUM(I31:I36)</f>
        <v>0</v>
      </c>
    </row>
    <row r="31" spans="1:9" ht="19.5">
      <c r="A31" s="61"/>
      <c r="B31" s="62"/>
      <c r="C31" s="60"/>
      <c r="D31" s="60"/>
      <c r="E31" s="128"/>
      <c r="F31" s="1053"/>
      <c r="G31" s="1001"/>
      <c r="H31" s="1000"/>
      <c r="I31" s="999">
        <f t="shared" ref="I31:I36" si="1">F31*H31</f>
        <v>0</v>
      </c>
    </row>
    <row r="32" spans="1:9" ht="19.5">
      <c r="A32" s="61"/>
      <c r="B32" s="62"/>
      <c r="C32" s="60"/>
      <c r="D32" s="60"/>
      <c r="E32" s="128"/>
      <c r="F32" s="1053"/>
      <c r="G32" s="1001"/>
      <c r="H32" s="1053"/>
      <c r="I32" s="999">
        <f t="shared" si="1"/>
        <v>0</v>
      </c>
    </row>
    <row r="33" spans="1:9" ht="19.5">
      <c r="A33" s="61"/>
      <c r="B33" s="62"/>
      <c r="C33" s="60"/>
      <c r="D33" s="60"/>
      <c r="E33" s="128"/>
      <c r="F33" s="1053"/>
      <c r="G33" s="1001"/>
      <c r="H33" s="1053"/>
      <c r="I33" s="999">
        <f t="shared" si="1"/>
        <v>0</v>
      </c>
    </row>
    <row r="34" spans="1:9" ht="19.5">
      <c r="A34" s="61"/>
      <c r="B34" s="62"/>
      <c r="C34" s="60"/>
      <c r="D34" s="60"/>
      <c r="E34" s="128"/>
      <c r="F34" s="1053"/>
      <c r="G34" s="1001"/>
      <c r="H34" s="1053"/>
      <c r="I34" s="999">
        <f t="shared" si="1"/>
        <v>0</v>
      </c>
    </row>
    <row r="35" spans="1:9" ht="19.5">
      <c r="A35" s="61"/>
      <c r="B35" s="62"/>
      <c r="C35" s="60"/>
      <c r="D35" s="60"/>
      <c r="E35" s="128"/>
      <c r="F35" s="1053"/>
      <c r="G35" s="1001"/>
      <c r="H35" s="1053"/>
      <c r="I35" s="999">
        <f t="shared" si="1"/>
        <v>0</v>
      </c>
    </row>
    <row r="36" spans="1:9" ht="19.5">
      <c r="A36" s="61"/>
      <c r="B36" s="62"/>
      <c r="C36" s="60"/>
      <c r="D36" s="60"/>
      <c r="E36" s="128"/>
      <c r="F36" s="1053"/>
      <c r="G36" s="1001"/>
      <c r="H36" s="1053"/>
      <c r="I36" s="999">
        <f t="shared" si="1"/>
        <v>0</v>
      </c>
    </row>
    <row r="37" spans="1:9" ht="19.5">
      <c r="A37" s="61">
        <f>+A30+1</f>
        <v>6</v>
      </c>
      <c r="B37" s="62"/>
      <c r="C37" s="60" t="s">
        <v>611</v>
      </c>
      <c r="D37" s="60"/>
      <c r="E37" s="128">
        <f>+F38+F39</f>
        <v>0</v>
      </c>
      <c r="F37" s="70"/>
      <c r="I37" s="1052">
        <f>SUM(I38:I39)</f>
        <v>0</v>
      </c>
    </row>
    <row r="38" spans="1:9" ht="19.5">
      <c r="A38" s="61"/>
      <c r="B38" s="62"/>
      <c r="C38" s="60"/>
      <c r="D38" s="60"/>
      <c r="E38" s="128"/>
      <c r="F38" s="1053"/>
      <c r="G38" s="1001"/>
      <c r="H38" s="1000"/>
      <c r="I38" s="999">
        <f>F38*H38</f>
        <v>0</v>
      </c>
    </row>
    <row r="39" spans="1:9" ht="19.5">
      <c r="A39" s="61"/>
      <c r="B39" s="62"/>
      <c r="C39" s="60"/>
      <c r="D39" s="60"/>
      <c r="E39" s="128"/>
      <c r="F39" s="1053"/>
      <c r="G39" s="1001"/>
      <c r="H39" s="1053"/>
      <c r="I39" s="999">
        <f>F39*H39</f>
        <v>0</v>
      </c>
    </row>
    <row r="40" spans="1:9" ht="19.5">
      <c r="A40" s="61">
        <f>+A37+1</f>
        <v>7</v>
      </c>
      <c r="B40" s="62"/>
      <c r="C40" s="60" t="s">
        <v>243</v>
      </c>
      <c r="D40" s="105"/>
      <c r="E40" s="128">
        <f>+F41</f>
        <v>0</v>
      </c>
      <c r="F40" s="125"/>
      <c r="I40" s="1052">
        <f>SUM(I41)</f>
        <v>0</v>
      </c>
    </row>
    <row r="41" spans="1:9" ht="19.5">
      <c r="A41" s="61"/>
      <c r="B41" s="62"/>
      <c r="C41" s="60"/>
      <c r="D41" s="105"/>
      <c r="E41" s="128"/>
      <c r="F41" s="1053"/>
      <c r="G41" s="1001"/>
      <c r="H41" s="1053"/>
      <c r="I41" s="999">
        <f>F41*H41</f>
        <v>0</v>
      </c>
    </row>
    <row r="42" spans="1:9" ht="19.5">
      <c r="A42" s="1054"/>
      <c r="B42" s="1055"/>
      <c r="C42" s="1056"/>
      <c r="D42" s="998"/>
      <c r="E42" s="1057"/>
      <c r="F42" s="997"/>
      <c r="G42" s="996"/>
      <c r="H42" s="996"/>
      <c r="I42" s="996"/>
    </row>
    <row r="43" spans="1:9" ht="23.25" customHeight="1">
      <c r="A43" s="61"/>
      <c r="B43" s="62"/>
      <c r="C43" s="60"/>
      <c r="D43" s="105"/>
      <c r="E43" s="128"/>
      <c r="F43" s="125"/>
    </row>
    <row r="44" spans="1:9" ht="18">
      <c r="A44" s="61"/>
      <c r="B44" s="62"/>
      <c r="C44" s="19" t="s">
        <v>454</v>
      </c>
      <c r="E44" s="19" t="s">
        <v>455</v>
      </c>
      <c r="F44" s="116" t="s">
        <v>456</v>
      </c>
      <c r="G44" s="116" t="s">
        <v>457</v>
      </c>
    </row>
    <row r="45" spans="1:9" ht="18">
      <c r="A45" s="96"/>
      <c r="B45" s="97"/>
      <c r="C45" s="97"/>
      <c r="D45" s="97"/>
      <c r="E45"/>
      <c r="F45" s="7"/>
      <c r="G45" s="117"/>
    </row>
    <row r="46" spans="1:9" ht="18">
      <c r="A46" s="96" t="s">
        <v>461</v>
      </c>
      <c r="B46" s="97"/>
      <c r="C46" s="97"/>
      <c r="D46" s="97"/>
      <c r="E46" s="98" t="s">
        <v>412</v>
      </c>
      <c r="F46" s="118" t="s">
        <v>2</v>
      </c>
      <c r="G46" s="119"/>
    </row>
    <row r="47" spans="1:9" ht="18">
      <c r="A47" s="99" t="s">
        <v>411</v>
      </c>
      <c r="B47" s="120"/>
      <c r="C47" s="99" t="s">
        <v>260</v>
      </c>
      <c r="D47" s="120"/>
      <c r="E47" s="100" t="s">
        <v>475</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651"/>
      <c r="G51" s="124" t="s">
        <v>408</v>
      </c>
    </row>
    <row r="52" spans="1:7" ht="19.5">
      <c r="A52" s="61">
        <f>+A50+1</f>
        <v>10</v>
      </c>
      <c r="B52" s="62"/>
      <c r="C52" s="60" t="s">
        <v>109</v>
      </c>
      <c r="D52" s="62"/>
      <c r="E52" s="128">
        <f>+F53</f>
        <v>0</v>
      </c>
      <c r="F52" s="70"/>
      <c r="G52" s="70"/>
    </row>
    <row r="53" spans="1:7" ht="19.5">
      <c r="A53" s="61"/>
      <c r="B53" s="62"/>
      <c r="C53" s="60"/>
      <c r="D53" s="62"/>
      <c r="E53" s="128"/>
      <c r="F53" s="651"/>
      <c r="G53" s="124" t="s">
        <v>408</v>
      </c>
    </row>
    <row r="54" spans="1:7" ht="19.5">
      <c r="A54" s="61">
        <f>+A52+1</f>
        <v>11</v>
      </c>
      <c r="B54" s="62"/>
      <c r="C54" s="60" t="s">
        <v>110</v>
      </c>
      <c r="D54" s="62"/>
      <c r="E54" s="128">
        <f>+F55+F56+F57</f>
        <v>0</v>
      </c>
      <c r="F54" s="70"/>
      <c r="G54" s="70"/>
    </row>
    <row r="55" spans="1:7" ht="19.5">
      <c r="A55" s="61" t="s">
        <v>408</v>
      </c>
      <c r="B55" s="62"/>
      <c r="C55" s="57"/>
      <c r="D55" s="62"/>
      <c r="E55" s="129"/>
      <c r="F55" s="651"/>
      <c r="G55" s="124" t="s">
        <v>408</v>
      </c>
    </row>
    <row r="56" spans="1:7" ht="19.5">
      <c r="A56" s="61"/>
      <c r="B56" s="62"/>
      <c r="C56" s="57"/>
      <c r="D56" s="62"/>
      <c r="E56" s="129"/>
      <c r="F56" s="651"/>
      <c r="G56" s="124" t="s">
        <v>408</v>
      </c>
    </row>
    <row r="57" spans="1:7" ht="19.5">
      <c r="A57" s="61"/>
      <c r="B57" s="62"/>
      <c r="C57" s="57"/>
      <c r="D57" s="62"/>
      <c r="E57" s="129"/>
      <c r="F57" s="651"/>
      <c r="G57" s="124" t="s">
        <v>408</v>
      </c>
    </row>
    <row r="58" spans="1:7" ht="19.5">
      <c r="A58" s="61">
        <f>A54+1</f>
        <v>12</v>
      </c>
      <c r="B58" s="62"/>
      <c r="C58" s="135" t="s">
        <v>315</v>
      </c>
      <c r="D58" s="62"/>
      <c r="E58" s="134"/>
      <c r="F58" s="70"/>
      <c r="G58" s="70" t="s">
        <v>408</v>
      </c>
    </row>
    <row r="59" spans="1:7" ht="19.5">
      <c r="A59" s="61">
        <f>A58+1</f>
        <v>13</v>
      </c>
      <c r="B59" s="62"/>
      <c r="C59" s="70" t="s">
        <v>214</v>
      </c>
      <c r="D59" s="105"/>
      <c r="E59" s="128">
        <f>+F60</f>
        <v>0</v>
      </c>
      <c r="G59" s="70"/>
    </row>
    <row r="60" spans="1:7" ht="19.5">
      <c r="A60" s="61"/>
      <c r="B60" s="62"/>
      <c r="C60" s="57"/>
      <c r="D60" s="62"/>
      <c r="E60" s="129"/>
      <c r="F60" s="651"/>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651"/>
      <c r="G63" s="124" t="s">
        <v>408</v>
      </c>
    </row>
    <row r="64" spans="1:7" ht="19.5">
      <c r="A64" s="67"/>
      <c r="B64" s="68"/>
      <c r="C64" s="57"/>
      <c r="D64" s="69"/>
      <c r="E64" s="128"/>
      <c r="F64" s="651"/>
      <c r="G64" s="124" t="s">
        <v>408</v>
      </c>
    </row>
    <row r="65" spans="1:7" ht="19.5">
      <c r="A65" s="61">
        <f>A62+1</f>
        <v>16</v>
      </c>
      <c r="B65" s="62"/>
      <c r="C65" s="57" t="s">
        <v>111</v>
      </c>
      <c r="D65" s="62"/>
      <c r="E65" s="80">
        <f>+F66+F67+F68</f>
        <v>0</v>
      </c>
      <c r="F65" s="70"/>
      <c r="G65" s="70"/>
    </row>
    <row r="66" spans="1:7" ht="19.5">
      <c r="A66" s="61"/>
      <c r="B66" s="62"/>
      <c r="C66" s="57"/>
      <c r="D66" s="62"/>
      <c r="E66" s="80"/>
      <c r="F66" s="651"/>
      <c r="G66" s="124"/>
    </row>
    <row r="67" spans="1:7" ht="19.5">
      <c r="A67" s="61"/>
      <c r="B67" s="62"/>
      <c r="C67" s="57"/>
      <c r="D67" s="62"/>
      <c r="E67" s="80"/>
      <c r="F67" s="651"/>
      <c r="G67" s="124"/>
    </row>
    <row r="68" spans="1:7" ht="19.5">
      <c r="A68" s="61"/>
      <c r="B68" s="62"/>
      <c r="C68" s="57"/>
      <c r="D68" s="62"/>
      <c r="E68" s="80"/>
      <c r="F68" s="651"/>
      <c r="G68" s="124" t="s">
        <v>408</v>
      </c>
    </row>
    <row r="69" spans="1:7" ht="19.5">
      <c r="A69" s="61">
        <f>+A65+1</f>
        <v>17</v>
      </c>
      <c r="B69" s="62"/>
      <c r="C69" s="57" t="s">
        <v>112</v>
      </c>
      <c r="D69"/>
      <c r="E69" s="80">
        <f>SUM(F70:F80)</f>
        <v>0</v>
      </c>
      <c r="F69" s="70"/>
      <c r="G69" s="70"/>
    </row>
    <row r="70" spans="1:7" ht="19.5">
      <c r="A70" s="61"/>
      <c r="B70" s="62"/>
      <c r="C70" s="57"/>
      <c r="D70"/>
      <c r="E70" s="80"/>
      <c r="F70" s="651"/>
      <c r="G70" s="124" t="s">
        <v>408</v>
      </c>
    </row>
    <row r="71" spans="1:7" ht="19.5">
      <c r="A71" s="61"/>
      <c r="B71" s="62"/>
      <c r="C71" s="57"/>
      <c r="D71"/>
      <c r="E71" s="80"/>
      <c r="F71" s="651"/>
      <c r="G71" s="124" t="s">
        <v>408</v>
      </c>
    </row>
    <row r="72" spans="1:7" ht="19.5">
      <c r="A72" s="61"/>
      <c r="B72" s="62"/>
      <c r="C72" s="57"/>
      <c r="D72"/>
      <c r="E72" s="80"/>
      <c r="F72" s="651"/>
      <c r="G72" s="124" t="s">
        <v>408</v>
      </c>
    </row>
    <row r="73" spans="1:7" ht="19.5">
      <c r="A73" s="61"/>
      <c r="B73" s="62"/>
      <c r="C73" s="57"/>
      <c r="D73"/>
      <c r="E73" s="80"/>
      <c r="F73" s="651"/>
      <c r="G73" s="124" t="s">
        <v>408</v>
      </c>
    </row>
    <row r="74" spans="1:7" ht="19.5">
      <c r="A74" s="61"/>
      <c r="B74" s="62"/>
      <c r="C74" s="57"/>
      <c r="D74"/>
      <c r="E74" s="80"/>
      <c r="F74" s="651"/>
      <c r="G74" s="124" t="s">
        <v>408</v>
      </c>
    </row>
    <row r="75" spans="1:7" ht="19.5">
      <c r="A75" s="61"/>
      <c r="B75" s="62"/>
      <c r="C75" s="57"/>
      <c r="D75"/>
      <c r="E75" s="80"/>
      <c r="F75" s="651"/>
      <c r="G75" s="124" t="s">
        <v>408</v>
      </c>
    </row>
    <row r="76" spans="1:7" ht="19.5">
      <c r="A76" s="61"/>
      <c r="B76" s="62"/>
      <c r="C76" s="57"/>
      <c r="D76"/>
      <c r="E76" s="80"/>
      <c r="F76" s="651"/>
      <c r="G76" s="124" t="s">
        <v>408</v>
      </c>
    </row>
    <row r="77" spans="1:7" ht="19.5">
      <c r="A77" s="61"/>
      <c r="B77" s="62"/>
      <c r="C77" s="57"/>
      <c r="D77"/>
      <c r="E77" s="80"/>
      <c r="F77" s="651"/>
      <c r="G77" s="124" t="s">
        <v>408</v>
      </c>
    </row>
    <row r="78" spans="1:7" ht="19.5">
      <c r="A78" s="61"/>
      <c r="B78" s="62"/>
      <c r="C78" s="57"/>
      <c r="D78"/>
      <c r="E78" s="80"/>
      <c r="F78" s="651"/>
      <c r="G78" s="124" t="s">
        <v>408</v>
      </c>
    </row>
    <row r="79" spans="1:7" ht="19.5">
      <c r="A79" s="61"/>
      <c r="B79" s="62"/>
      <c r="C79" s="57"/>
      <c r="D79"/>
      <c r="E79" s="80"/>
      <c r="F79" s="651"/>
      <c r="G79" s="124" t="s">
        <v>408</v>
      </c>
    </row>
    <row r="80" spans="1:7" ht="19.5">
      <c r="A80" s="61"/>
      <c r="B80" s="62"/>
      <c r="C80" s="57"/>
      <c r="D80"/>
      <c r="E80" s="80"/>
      <c r="F80" s="651"/>
      <c r="G80" s="124" t="s">
        <v>408</v>
      </c>
    </row>
    <row r="81" spans="1:7" ht="19.5">
      <c r="A81" s="61">
        <f>+A69+1</f>
        <v>18</v>
      </c>
      <c r="B81" s="62"/>
      <c r="C81" s="57" t="s">
        <v>113</v>
      </c>
      <c r="D81"/>
      <c r="E81" s="80">
        <f>SUM(F82:F85)</f>
        <v>0</v>
      </c>
      <c r="F81" s="70"/>
      <c r="G81" s="70"/>
    </row>
    <row r="82" spans="1:7" ht="19.5">
      <c r="A82" s="61"/>
      <c r="B82" s="62"/>
      <c r="C82" s="57"/>
      <c r="D82"/>
      <c r="E82" s="80"/>
      <c r="F82" s="651"/>
      <c r="G82" s="124" t="s">
        <v>408</v>
      </c>
    </row>
    <row r="83" spans="1:7" ht="19.5">
      <c r="A83" s="61"/>
      <c r="B83" s="62"/>
      <c r="C83" s="57"/>
      <c r="D83"/>
      <c r="E83" s="80"/>
      <c r="F83" s="651"/>
      <c r="G83" s="124" t="s">
        <v>408</v>
      </c>
    </row>
    <row r="84" spans="1:7" ht="19.5">
      <c r="A84" s="61"/>
      <c r="B84" s="62"/>
      <c r="C84" s="57"/>
      <c r="D84"/>
      <c r="E84" s="80"/>
      <c r="F84" s="651"/>
      <c r="G84" s="124" t="s">
        <v>408</v>
      </c>
    </row>
    <row r="85" spans="1:7" ht="19.5">
      <c r="A85" s="61"/>
      <c r="B85" s="62"/>
      <c r="C85" s="57"/>
      <c r="D85"/>
      <c r="E85" s="80"/>
      <c r="F85" s="651"/>
      <c r="G85" s="124" t="s">
        <v>408</v>
      </c>
    </row>
    <row r="86" spans="1:7" ht="19.5">
      <c r="A86" s="61">
        <f>+A81+1</f>
        <v>19</v>
      </c>
      <c r="B86" s="62"/>
      <c r="C86" s="57" t="s">
        <v>114</v>
      </c>
      <c r="D86" s="62"/>
      <c r="E86" s="80">
        <f>F87</f>
        <v>0</v>
      </c>
      <c r="F86" s="70"/>
      <c r="G86" s="70" t="s">
        <v>408</v>
      </c>
    </row>
    <row r="87" spans="1:7" ht="19.5">
      <c r="A87" s="61"/>
      <c r="B87" s="62"/>
      <c r="C87" s="57"/>
      <c r="D87" s="62"/>
      <c r="E87" s="80"/>
      <c r="F87" s="651"/>
      <c r="G87" s="124" t="s">
        <v>408</v>
      </c>
    </row>
    <row r="88" spans="1:7" ht="19.5">
      <c r="A88" s="61"/>
      <c r="B88" s="62"/>
      <c r="C88" s="57"/>
      <c r="D88" s="62"/>
      <c r="E88" s="80"/>
      <c r="F88" s="152"/>
      <c r="G88" s="70" t="s">
        <v>408</v>
      </c>
    </row>
    <row r="89" spans="1:7" ht="19.5">
      <c r="A89" s="61">
        <f>+A86+1</f>
        <v>20</v>
      </c>
      <c r="B89" s="62"/>
      <c r="C89" s="57" t="s">
        <v>115</v>
      </c>
      <c r="D89" s="62"/>
      <c r="E89" s="80">
        <f>SUM(F90:F94)</f>
        <v>175722</v>
      </c>
      <c r="F89" s="70"/>
      <c r="G89" s="124" t="s">
        <v>408</v>
      </c>
    </row>
    <row r="90" spans="1:7" ht="19.5">
      <c r="A90" s="61"/>
      <c r="B90" s="62"/>
      <c r="C90" s="57"/>
      <c r="D90" s="62"/>
      <c r="E90" s="80"/>
      <c r="F90" s="651">
        <v>37</v>
      </c>
      <c r="G90" s="1001" t="s">
        <v>1084</v>
      </c>
    </row>
    <row r="91" spans="1:7" ht="19.5">
      <c r="A91" s="61"/>
      <c r="B91" s="62"/>
      <c r="C91" s="57"/>
      <c r="D91" s="62"/>
      <c r="E91" s="80"/>
      <c r="F91" s="651">
        <v>176485</v>
      </c>
      <c r="G91" s="1001" t="s">
        <v>1085</v>
      </c>
    </row>
    <row r="92" spans="1:7" ht="19.5">
      <c r="A92" s="61"/>
      <c r="B92" s="62"/>
      <c r="C92" s="57"/>
      <c r="D92" s="62"/>
      <c r="E92" s="80"/>
      <c r="F92" s="651">
        <v>-800</v>
      </c>
      <c r="G92" s="1001" t="s">
        <v>1086</v>
      </c>
    </row>
    <row r="93" spans="1:7" ht="19.5">
      <c r="A93" s="61"/>
      <c r="B93" s="62"/>
      <c r="C93" s="57"/>
      <c r="D93" s="62"/>
      <c r="E93" s="80"/>
      <c r="F93" s="651"/>
      <c r="G93" s="124" t="s">
        <v>408</v>
      </c>
    </row>
    <row r="94" spans="1:7" ht="19.5">
      <c r="A94" s="61"/>
      <c r="B94" s="62"/>
      <c r="C94" s="57"/>
      <c r="D94" s="62"/>
      <c r="E94" s="80"/>
      <c r="F94" s="651"/>
      <c r="G94" s="124" t="s">
        <v>408</v>
      </c>
    </row>
    <row r="95" spans="1:7" ht="19.5">
      <c r="A95" s="61">
        <f>+A89+1</f>
        <v>21</v>
      </c>
      <c r="B95" s="57"/>
      <c r="C95" s="57" t="s">
        <v>104</v>
      </c>
      <c r="D95" s="57"/>
      <c r="E95" s="80">
        <f>SUM(F96:F97)</f>
        <v>0</v>
      </c>
      <c r="F95" s="127"/>
      <c r="G95" s="124" t="s">
        <v>408</v>
      </c>
    </row>
    <row r="96" spans="1:7" ht="19.5">
      <c r="A96" s="61"/>
      <c r="B96" s="57"/>
      <c r="C96" s="57"/>
      <c r="D96" s="57"/>
      <c r="E96" s="122"/>
      <c r="F96" s="651"/>
      <c r="G96" s="124" t="s">
        <v>408</v>
      </c>
    </row>
    <row r="97" spans="1:7" ht="19.5">
      <c r="A97" s="61"/>
      <c r="B97" s="57"/>
      <c r="C97" s="57"/>
      <c r="D97" s="57"/>
      <c r="E97" s="122"/>
      <c r="F97" s="651"/>
      <c r="G97" s="124" t="s">
        <v>408</v>
      </c>
    </row>
    <row r="98" spans="1:7" ht="19.5">
      <c r="A98" s="61">
        <f>+A95+1</f>
        <v>22</v>
      </c>
      <c r="B98" s="57"/>
      <c r="C98" s="74"/>
      <c r="D98" s="70"/>
      <c r="E98" s="128">
        <f>+F99</f>
        <v>0</v>
      </c>
      <c r="G98" s="70"/>
    </row>
    <row r="99" spans="1:7" ht="19.5">
      <c r="A99" s="61"/>
      <c r="B99" s="57"/>
      <c r="C99" s="74"/>
      <c r="D99" s="70"/>
      <c r="E99" s="129"/>
      <c r="F99" s="651">
        <v>0</v>
      </c>
      <c r="G99" s="70"/>
    </row>
    <row r="100" spans="1:7" ht="19.5">
      <c r="A100" s="4"/>
      <c r="B100" s="115"/>
      <c r="C100" s="115"/>
      <c r="D100"/>
      <c r="E100"/>
      <c r="F100" s="127"/>
      <c r="G100" s="70"/>
    </row>
    <row r="101" spans="1:7" ht="20.25" thickBot="1">
      <c r="A101" s="112">
        <f>+A98+1</f>
        <v>23</v>
      </c>
      <c r="B101" s="115"/>
      <c r="C101" s="57" t="s">
        <v>108</v>
      </c>
      <c r="D101"/>
      <c r="E101" s="73">
        <f>E22+E65+E89+E14</f>
        <v>215380631.88</v>
      </c>
      <c r="F101" s="73">
        <f>SUM(F14:F99)</f>
        <v>215380631.88</v>
      </c>
      <c r="G101" s="70"/>
    </row>
    <row r="102" spans="1:7" ht="20.25" thickTop="1">
      <c r="A102" s="4"/>
      <c r="B102" s="115"/>
      <c r="C102" s="57" t="s">
        <v>173</v>
      </c>
      <c r="D102"/>
      <c r="E102"/>
      <c r="F102" s="70"/>
      <c r="G102" s="70"/>
    </row>
    <row r="103" spans="1:7" ht="19.5">
      <c r="A103" s="4"/>
      <c r="B103" s="115"/>
      <c r="C103" s="57"/>
      <c r="D103"/>
      <c r="E103"/>
      <c r="F103" s="80" t="s">
        <v>408</v>
      </c>
      <c r="G103" s="70"/>
    </row>
    <row r="104" spans="1:7" ht="21.75" customHeight="1">
      <c r="A104" s="1531" t="s">
        <v>767</v>
      </c>
      <c r="B104" s="1531"/>
      <c r="C104" s="1531"/>
      <c r="D104" s="1531"/>
      <c r="E104" s="1531"/>
      <c r="F104" s="1531"/>
      <c r="G104" s="1531"/>
    </row>
    <row r="105" spans="1:7" ht="21.75" customHeight="1">
      <c r="A105" s="1531"/>
      <c r="B105" s="1531"/>
      <c r="C105" s="1531"/>
      <c r="D105" s="1531"/>
      <c r="E105" s="1531"/>
      <c r="F105" s="1531"/>
      <c r="G105" s="1531"/>
    </row>
    <row r="106" spans="1:7" ht="21.75" customHeight="1">
      <c r="A106" s="1531"/>
      <c r="B106" s="1531"/>
      <c r="C106" s="1531"/>
      <c r="D106" s="1531"/>
      <c r="E106" s="1531"/>
      <c r="F106" s="1531"/>
      <c r="G106" s="1531"/>
    </row>
    <row r="107" spans="1:7" ht="21.75" customHeight="1">
      <c r="A107" s="1531"/>
      <c r="B107" s="1531"/>
      <c r="C107" s="1531"/>
      <c r="D107" s="1531"/>
      <c r="E107" s="1531"/>
      <c r="F107" s="1531"/>
      <c r="G107" s="1531"/>
    </row>
    <row r="108" spans="1:7" ht="21.75" customHeight="1">
      <c r="A108" s="1531"/>
      <c r="B108" s="1531"/>
      <c r="C108" s="1531"/>
      <c r="D108" s="1531"/>
      <c r="E108" s="1531"/>
      <c r="F108" s="1531"/>
      <c r="G108" s="1531"/>
    </row>
    <row r="109" spans="1:7" ht="19.5">
      <c r="A109" s="1248"/>
      <c r="B109" s="79"/>
      <c r="C109" s="79"/>
      <c r="D109" s="79"/>
      <c r="E109" s="1249"/>
      <c r="F109" s="70"/>
      <c r="G109" s="70"/>
    </row>
    <row r="110" spans="1:7" ht="30" customHeight="1">
      <c r="A110" s="1529" t="s">
        <v>694</v>
      </c>
      <c r="B110" s="1529"/>
      <c r="C110" s="1529"/>
      <c r="D110" s="1529"/>
      <c r="E110" s="1529"/>
      <c r="F110" s="1529"/>
      <c r="G110" s="1529"/>
    </row>
    <row r="111" spans="1:7" ht="30" customHeight="1">
      <c r="A111" s="1529"/>
      <c r="B111" s="1529"/>
      <c r="C111" s="1529"/>
      <c r="D111" s="1529"/>
      <c r="E111" s="1529"/>
      <c r="F111" s="1529"/>
      <c r="G111" s="1529"/>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92" t="s">
        <v>408</v>
      </c>
    </row>
    <row r="2" spans="1:13" ht="15.75">
      <c r="A2" s="992" t="s">
        <v>408</v>
      </c>
    </row>
    <row r="3" spans="1:13" ht="18">
      <c r="A3" s="1535" t="str">
        <f>TCOS!$F$5</f>
        <v>AEPTCo subsidiaries in PJM</v>
      </c>
      <c r="B3" s="1535" t="str">
        <f>TCOS!$F$5</f>
        <v>AEPTCo subsidiaries in PJM</v>
      </c>
      <c r="C3" s="1535" t="str">
        <f>TCOS!$F$5</f>
        <v>AEPTCo subsidiaries in PJM</v>
      </c>
      <c r="D3" s="1535" t="str">
        <f>TCOS!$F$5</f>
        <v>AEPTCo subsidiaries in PJM</v>
      </c>
      <c r="E3" s="1535" t="str">
        <f>TCOS!$F$5</f>
        <v>AEPTCo subsidiaries in PJM</v>
      </c>
      <c r="F3" s="1535" t="str">
        <f>TCOS!$F$5</f>
        <v>AEPTCo subsidiaries in PJM</v>
      </c>
      <c r="G3" s="1535" t="str">
        <f>TCOS!$F$5</f>
        <v>AEPTCo subsidiaries in PJM</v>
      </c>
      <c r="H3" s="1535" t="str">
        <f>TCOS!$F$5</f>
        <v>AEPTCo subsidiaries in PJM</v>
      </c>
      <c r="I3" s="1535" t="str">
        <f>TCOS!$F$5</f>
        <v>AEPTCo subsidiaries in PJM</v>
      </c>
      <c r="J3" s="1535" t="str">
        <f>TCOS!$F$5</f>
        <v>AEPTCo subsidiaries in PJM</v>
      </c>
      <c r="K3" s="77"/>
      <c r="L3" s="77"/>
      <c r="M3" s="77"/>
    </row>
    <row r="4" spans="1:13" ht="18">
      <c r="A4" s="1534" t="str">
        <f>"Cost of Service Formula Rate Using Actual/Projected FF1 Balances"</f>
        <v>Cost of Service Formula Rate Using Actual/Projected FF1 Balances</v>
      </c>
      <c r="B4" s="1534"/>
      <c r="C4" s="1534"/>
      <c r="D4" s="1534"/>
      <c r="E4" s="1534"/>
      <c r="F4" s="1534"/>
      <c r="G4" s="1534"/>
      <c r="H4" s="1534"/>
      <c r="I4" s="1534"/>
      <c r="J4" s="1534"/>
      <c r="K4" s="52"/>
      <c r="L4" s="52"/>
      <c r="M4" s="52"/>
    </row>
    <row r="5" spans="1:13" ht="18">
      <c r="A5" s="1534" t="s">
        <v>589</v>
      </c>
      <c r="B5" s="1534"/>
      <c r="C5" s="1534"/>
      <c r="D5" s="1534"/>
      <c r="E5" s="1534"/>
      <c r="F5" s="1534"/>
      <c r="G5" s="1534"/>
      <c r="H5" s="1534"/>
      <c r="I5" s="1534"/>
      <c r="J5" s="1534"/>
      <c r="K5" s="78"/>
      <c r="L5" s="78"/>
      <c r="M5" s="78"/>
    </row>
    <row r="6" spans="1:13" ht="18">
      <c r="A6" s="1526" t="str">
        <f>+TCOS!F9</f>
        <v>AEP Ohio Transmission Company</v>
      </c>
      <c r="B6" s="1526"/>
      <c r="C6" s="1526"/>
      <c r="D6" s="1526"/>
      <c r="E6" s="1526"/>
      <c r="F6" s="1526"/>
      <c r="G6" s="1526"/>
      <c r="H6" s="1526"/>
      <c r="I6" s="1526"/>
      <c r="J6" s="1526"/>
      <c r="K6" s="81"/>
      <c r="L6" s="81"/>
      <c r="M6" s="81"/>
    </row>
    <row r="7" spans="1:13">
      <c r="H7" s="82"/>
    </row>
    <row r="8" spans="1:13" ht="15.75">
      <c r="D8" s="150" t="s">
        <v>556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994"/>
  <sheetViews>
    <sheetView view="pageBreakPreview" topLeftCell="A1917" zoomScale="70" zoomScaleNormal="70" zoomScaleSheetLayoutView="70" workbookViewId="0">
      <selection activeCell="D1922" sqref="D1922"/>
    </sheetView>
  </sheetViews>
  <sheetFormatPr defaultColWidth="8.85546875" defaultRowHeight="12.75"/>
  <cols>
    <col min="1" max="1" width="4.7109375" style="172" customWidth="1"/>
    <col min="2" max="2" width="6.7109375" style="392" customWidth="1"/>
    <col min="3" max="3" width="20.7109375" style="172" customWidth="1"/>
    <col min="4" max="4" width="22" style="272" customWidth="1"/>
    <col min="5" max="5" width="19.28515625" style="172" customWidth="1"/>
    <col min="6" max="8" width="17.7109375" style="172" customWidth="1"/>
    <col min="9" max="9" width="17.7109375" style="487" customWidth="1"/>
    <col min="10" max="10" width="17.7109375" style="172" bestFit="1" customWidth="1"/>
    <col min="11" max="11" width="2.140625" style="155" customWidth="1"/>
    <col min="12" max="12" width="17.7109375" style="313" customWidth="1"/>
    <col min="13" max="13" width="36.42578125" style="313" customWidth="1"/>
    <col min="14" max="14" width="17.7109375" style="313" customWidth="1"/>
    <col min="15" max="15" width="23.42578125" style="313" customWidth="1"/>
    <col min="16" max="16" width="16.7109375" style="313" customWidth="1"/>
    <col min="17" max="17" width="5" style="172" customWidth="1"/>
    <col min="18" max="16384" width="8.85546875" style="172"/>
  </cols>
  <sheetData>
    <row r="1" spans="1:17" ht="15.75">
      <c r="A1" s="992" t="s">
        <v>408</v>
      </c>
    </row>
    <row r="2" spans="1:17" ht="15.75">
      <c r="A2" s="992" t="s">
        <v>408</v>
      </c>
    </row>
    <row r="3" spans="1:17" ht="15">
      <c r="A3" s="1484" t="str">
        <f>TCOS!$F$5</f>
        <v>AEPTCo subsidiaries in PJM</v>
      </c>
      <c r="B3" s="1484" t="str">
        <f>TCOS!$F$5</f>
        <v>AEPTCo subsidiaries in PJM</v>
      </c>
      <c r="C3" s="1484" t="str">
        <f>TCOS!$F$5</f>
        <v>AEPTCo subsidiaries in PJM</v>
      </c>
      <c r="D3" s="1484" t="str">
        <f>TCOS!$F$5</f>
        <v>AEPTCo subsidiaries in PJM</v>
      </c>
      <c r="E3" s="1484" t="str">
        <f>TCOS!$F$5</f>
        <v>AEPTCo subsidiaries in PJM</v>
      </c>
      <c r="F3" s="1484" t="str">
        <f>TCOS!$F$5</f>
        <v>AEPTCo subsidiaries in PJM</v>
      </c>
      <c r="G3" s="1484" t="str">
        <f>TCOS!$F$5</f>
        <v>AEPTCo subsidiaries in PJM</v>
      </c>
      <c r="H3" s="1484" t="str">
        <f>TCOS!$F$5</f>
        <v>AEPTCo subsidiaries in PJM</v>
      </c>
      <c r="I3" s="1484" t="str">
        <f>TCOS!$F$5</f>
        <v>AEPTCo subsidiaries in PJM</v>
      </c>
      <c r="J3" s="1484" t="str">
        <f>TCOS!$F$5</f>
        <v>AEPTCo subsidiaries in PJM</v>
      </c>
      <c r="K3" s="1484" t="str">
        <f>TCOS!$F$5</f>
        <v>AEPTCo subsidiaries in PJM</v>
      </c>
      <c r="L3" s="1484" t="str">
        <f>TCOS!$F$5</f>
        <v>AEPTCo subsidiaries in PJM</v>
      </c>
      <c r="M3" s="1484" t="str">
        <f>TCOS!$F$5</f>
        <v>AEPTCo subsidiaries in PJM</v>
      </c>
      <c r="N3" s="1484" t="str">
        <f>TCOS!$F$5</f>
        <v>AEPTCo subsidiaries in PJM</v>
      </c>
      <c r="O3" s="1484" t="str">
        <f>TCOS!$F$5</f>
        <v>AEPTCo subsidiaries in PJM</v>
      </c>
      <c r="P3" s="1484" t="str">
        <f>TCOS!$F$5</f>
        <v>AEPTCo subsidiaries in PJM</v>
      </c>
      <c r="Q3" s="155"/>
    </row>
    <row r="4" spans="1:17" ht="15">
      <c r="A4" s="1512" t="str">
        <f>"Cost of Service Formula Rate Using Actual/Projected FF1 Balances"</f>
        <v>Cost of Service Formula Rate Using Actual/Projected FF1 Balances</v>
      </c>
      <c r="B4" s="1512"/>
      <c r="C4" s="1512"/>
      <c r="D4" s="1512"/>
      <c r="E4" s="1512"/>
      <c r="F4" s="1512"/>
      <c r="G4" s="1512"/>
      <c r="H4" s="1512"/>
      <c r="I4" s="1512"/>
      <c r="J4" s="1512"/>
      <c r="K4" s="1512"/>
      <c r="L4" s="1512"/>
      <c r="M4" s="1512"/>
      <c r="N4" s="1512"/>
      <c r="O4" s="1512"/>
      <c r="P4" s="1512"/>
      <c r="Q4" s="155"/>
    </row>
    <row r="5" spans="1:17" ht="15">
      <c r="A5" s="1512" t="s">
        <v>257</v>
      </c>
      <c r="B5" s="1512"/>
      <c r="C5" s="1512"/>
      <c r="D5" s="1512"/>
      <c r="E5" s="1512"/>
      <c r="F5" s="1512"/>
      <c r="G5" s="1512"/>
      <c r="H5" s="1512"/>
      <c r="I5" s="1512"/>
      <c r="J5" s="1512"/>
      <c r="K5" s="1512"/>
      <c r="L5" s="1512"/>
      <c r="M5" s="1512"/>
      <c r="N5" s="1512"/>
      <c r="O5" s="1512"/>
      <c r="P5" s="1512"/>
      <c r="Q5" s="155"/>
    </row>
    <row r="6" spans="1:17" ht="15">
      <c r="A6" s="1513" t="str">
        <f>TCOS!F9</f>
        <v>AEP Ohio Transmission Company</v>
      </c>
      <c r="B6" s="1513"/>
      <c r="C6" s="1513"/>
      <c r="D6" s="1513"/>
      <c r="E6" s="1513"/>
      <c r="F6" s="1513"/>
      <c r="G6" s="1513"/>
      <c r="H6" s="1513"/>
      <c r="I6" s="1513"/>
      <c r="J6" s="1513"/>
      <c r="K6" s="1513"/>
      <c r="L6" s="1513"/>
      <c r="M6" s="1513"/>
      <c r="N6" s="1513"/>
      <c r="O6" s="1513"/>
      <c r="P6" s="1513"/>
      <c r="Q6" s="155"/>
    </row>
    <row r="7" spans="1:17">
      <c r="Q7" s="155"/>
    </row>
    <row r="8" spans="1:17" ht="20.25">
      <c r="A8" s="652"/>
      <c r="C8" s="392"/>
      <c r="O8" s="653" t="str">
        <f>"Page "&amp;Q8&amp;" of "</f>
        <v xml:space="preserve">Page 1 of </v>
      </c>
      <c r="P8" s="654">
        <f>COUNT(Q$8:Q$57703)</f>
        <v>22</v>
      </c>
      <c r="Q8" s="655">
        <v>1</v>
      </c>
    </row>
    <row r="9" spans="1:17" ht="18">
      <c r="C9" s="656"/>
      <c r="Q9" s="155"/>
    </row>
    <row r="10" spans="1:17">
      <c r="Q10" s="155"/>
    </row>
    <row r="11" spans="1:17" ht="18">
      <c r="B11" s="657" t="s">
        <v>463</v>
      </c>
      <c r="C11" s="1541" t="str">
        <f>"Calculate Return and Income Taxes with "&amp;F17&amp;" basis point ROE increase for Projects Qualified for Regional Billing."</f>
        <v>Calculate Return and Income Taxes with 0 basis point ROE increase for Projects Qualified for Regional Billing.</v>
      </c>
      <c r="D11" s="1542"/>
      <c r="E11" s="1542"/>
      <c r="F11" s="1542"/>
      <c r="G11" s="1542"/>
      <c r="H11" s="1542"/>
      <c r="I11" s="1542"/>
      <c r="Q11" s="155"/>
    </row>
    <row r="12" spans="1:17" ht="18.75" customHeight="1">
      <c r="C12" s="1542"/>
      <c r="D12" s="1542"/>
      <c r="E12" s="1542"/>
      <c r="F12" s="1542"/>
      <c r="G12" s="1542"/>
      <c r="H12" s="1542"/>
      <c r="I12" s="1542"/>
      <c r="Q12" s="155"/>
    </row>
    <row r="13" spans="1:17" ht="15.75" customHeight="1">
      <c r="C13" s="658"/>
      <c r="D13" s="658"/>
      <c r="E13" s="658"/>
      <c r="F13" s="658"/>
      <c r="G13" s="658"/>
      <c r="H13" s="658"/>
      <c r="I13" s="658"/>
      <c r="Q13" s="155"/>
    </row>
    <row r="14" spans="1:17" ht="15.75">
      <c r="C14" s="659" t="str">
        <f>"A.   Determine 'R' with hypothetical "&amp;F17&amp;" basis point increase in ROE for Identified Projects"</f>
        <v>A.   Determine 'R' with hypothetical 0 basis point increase in ROE for Identified Projects</v>
      </c>
      <c r="D14" s="219"/>
      <c r="Q14" s="155"/>
    </row>
    <row r="15" spans="1:17">
      <c r="C15" s="208"/>
      <c r="D15" s="219"/>
      <c r="Q15" s="155"/>
    </row>
    <row r="16" spans="1:17">
      <c r="C16" s="660" t="str">
        <f>"   ROE w/o incentives  (TCOS, ln "&amp;TCOS!B235&amp;")"</f>
        <v xml:space="preserve">   ROE w/o incentives  (TCOS, ln 138)</v>
      </c>
      <c r="D16" s="219"/>
      <c r="E16" s="661"/>
      <c r="F16" s="814">
        <f>TCOS!J235</f>
        <v>9.8500000000000004E-2</v>
      </c>
      <c r="G16" s="814"/>
      <c r="H16" s="661"/>
      <c r="I16" s="663"/>
      <c r="J16" s="663"/>
      <c r="K16" s="664"/>
      <c r="L16" s="663"/>
      <c r="M16" s="663"/>
      <c r="N16" s="663"/>
      <c r="O16" s="663"/>
      <c r="P16" s="663"/>
      <c r="Q16" s="664"/>
    </row>
    <row r="17" spans="3:17" ht="13.5" thickBot="1">
      <c r="C17" s="660" t="s">
        <v>43</v>
      </c>
      <c r="D17" s="219"/>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9.8500000000000004E-2</v>
      </c>
      <c r="G18" s="667"/>
      <c r="H18" s="661"/>
      <c r="I18" s="663"/>
      <c r="J18" s="663"/>
      <c r="K18" s="664"/>
      <c r="L18" s="815" t="s">
        <v>234</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61"/>
      <c r="F19" s="668"/>
      <c r="G19" s="668"/>
      <c r="H19" s="661"/>
      <c r="I19" s="663"/>
      <c r="J19" s="663"/>
      <c r="K19" s="664"/>
      <c r="L19" s="818"/>
      <c r="M19" s="664"/>
      <c r="N19" s="664" t="s">
        <v>45</v>
      </c>
      <c r="O19" s="664" t="s">
        <v>46</v>
      </c>
      <c r="P19" s="819" t="s">
        <v>47</v>
      </c>
    </row>
    <row r="20" spans="3:17">
      <c r="C20" s="664"/>
      <c r="D20" s="669" t="s">
        <v>438</v>
      </c>
      <c r="E20" s="669" t="s">
        <v>437</v>
      </c>
      <c r="F20" s="670" t="s">
        <v>44</v>
      </c>
      <c r="G20" s="670"/>
      <c r="H20" s="661"/>
      <c r="I20" s="663"/>
      <c r="J20" s="663"/>
      <c r="K20" s="664"/>
      <c r="L20" s="818" t="s">
        <v>232</v>
      </c>
      <c r="M20" s="820" t="str">
        <f>+TCOS!O3</f>
        <v xml:space="preserve"> </v>
      </c>
      <c r="N20" s="426"/>
      <c r="O20" s="426"/>
      <c r="P20" s="821"/>
    </row>
    <row r="21" spans="3:17">
      <c r="C21" s="671" t="s">
        <v>48</v>
      </c>
      <c r="D21" s="822">
        <f>TCOS!H233</f>
        <v>0.45253603444051677</v>
      </c>
      <c r="E21" s="673">
        <f>TCOS!J233</f>
        <v>4.0892881150499064E-2</v>
      </c>
      <c r="F21" s="674">
        <f>E21*D21</f>
        <v>1.8505502272694204E-2</v>
      </c>
      <c r="G21" s="674"/>
      <c r="H21" s="661"/>
      <c r="I21" s="663"/>
      <c r="J21" s="675"/>
      <c r="K21" s="676"/>
      <c r="L21" s="823"/>
      <c r="M21" s="765" t="s">
        <v>233</v>
      </c>
      <c r="N21" s="944">
        <f>M88+M175+M263+M350+M437+M524+M611+M698+M785+M872+M959+M1046+M1133+M1220+M1307+M1394+M1481+M1568+M1655+M1742+M1829+M1916</f>
        <v>43956692.987081483</v>
      </c>
      <c r="O21" s="944">
        <f>N88+N175+N263+N350+N437+N524+N611+N698+N785+N872+N959+N1046+N1133+N1220+N1307+N1394+N1481+N1568+N1655+N1742+N1829+N1916</f>
        <v>43956692.987081483</v>
      </c>
      <c r="P21" s="824">
        <f>+O21-N21</f>
        <v>0</v>
      </c>
    </row>
    <row r="22" spans="3:17" ht="13.5" thickBot="1">
      <c r="C22" s="671" t="s">
        <v>49</v>
      </c>
      <c r="D22" s="822">
        <f>TCOS!H234</f>
        <v>0</v>
      </c>
      <c r="E22" s="673">
        <f>TCOS!J234</f>
        <v>0</v>
      </c>
      <c r="F22" s="674">
        <f>E22*D22</f>
        <v>0</v>
      </c>
      <c r="G22" s="674"/>
      <c r="H22" s="677"/>
      <c r="I22" s="677"/>
      <c r="J22" s="678"/>
      <c r="K22" s="679"/>
      <c r="L22" s="823"/>
      <c r="M22" s="765" t="s">
        <v>615</v>
      </c>
      <c r="N22" s="945">
        <f>M89+M176+M264+M351+M438+M525+M612+M699+M786+M873+M960+M1047+M1134+M1221+M1308+M1395+M1482+M1569+M1656+M1743+M1830+M1917</f>
        <v>42095283.195419461</v>
      </c>
      <c r="O22" s="945">
        <f>N89+N176+N264+N351+N438+N525+N612+N699+N786+N873+N960+N1047+N1134+N1221+N1308+N1395+N1482+N1569+N1656+N1743+N1830+N1917</f>
        <v>42095283.195419461</v>
      </c>
      <c r="P22" s="825">
        <f>+O22-N22</f>
        <v>0</v>
      </c>
      <c r="Q22" s="679"/>
    </row>
    <row r="23" spans="3:17">
      <c r="C23" s="680" t="s">
        <v>29</v>
      </c>
      <c r="D23" s="822">
        <f>TCOS!I235</f>
        <v>0.54746396555948318</v>
      </c>
      <c r="E23" s="673">
        <f>+F18</f>
        <v>9.8500000000000004E-2</v>
      </c>
      <c r="F23" s="681">
        <f>E23*D23</f>
        <v>5.3925200607609095E-2</v>
      </c>
      <c r="G23" s="681"/>
      <c r="H23" s="677"/>
      <c r="I23" s="677"/>
      <c r="J23" s="678"/>
      <c r="K23" s="679"/>
      <c r="L23" s="823"/>
      <c r="M23" s="765" t="str">
        <f>"True-up of ARR For "&amp;TCOS!L4&amp;""</f>
        <v>True-up of ARR For 2023</v>
      </c>
      <c r="N23" s="736">
        <f>+N22-N21</f>
        <v>-1861409.7916620225</v>
      </c>
      <c r="O23" s="736">
        <f>+O22-O21</f>
        <v>-1861409.7916620225</v>
      </c>
      <c r="P23" s="826">
        <f>+P22-P21</f>
        <v>0</v>
      </c>
      <c r="Q23" s="679"/>
    </row>
    <row r="24" spans="3:17">
      <c r="C24" s="660"/>
      <c r="D24" s="172"/>
      <c r="E24" s="682" t="s">
        <v>50</v>
      </c>
      <c r="F24" s="674">
        <f>SUM(F21:F23)</f>
        <v>7.2430702880303302E-2</v>
      </c>
      <c r="G24" s="674"/>
      <c r="H24" s="677"/>
      <c r="I24" s="677"/>
      <c r="J24" s="678"/>
      <c r="K24" s="679"/>
      <c r="L24" s="823"/>
      <c r="M24" s="426"/>
      <c r="N24" s="426"/>
      <c r="O24" s="426"/>
      <c r="P24" s="821"/>
      <c r="Q24" s="679"/>
    </row>
    <row r="25" spans="3:17" ht="13.5" thickBot="1">
      <c r="C25" s="208"/>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4379823792.1344843</v>
      </c>
      <c r="F28" s="830"/>
      <c r="G28" s="830"/>
      <c r="H28" s="688"/>
      <c r="I28" s="688"/>
      <c r="J28" s="688"/>
      <c r="K28" s="688"/>
      <c r="L28" s="688"/>
      <c r="M28" s="688"/>
      <c r="N28" s="688"/>
      <c r="O28" s="688"/>
      <c r="P28" s="830"/>
      <c r="Q28" s="688"/>
    </row>
    <row r="29" spans="3:17">
      <c r="C29" s="664" t="s">
        <v>52</v>
      </c>
      <c r="D29" s="700"/>
      <c r="E29" s="674">
        <f>F24</f>
        <v>7.2430702880303302E-2</v>
      </c>
      <c r="F29" s="688"/>
      <c r="G29" s="688"/>
      <c r="H29" s="688"/>
      <c r="I29" s="688"/>
      <c r="J29" s="688"/>
      <c r="K29" s="688"/>
      <c r="L29" s="688"/>
      <c r="M29" s="688"/>
      <c r="N29" s="688"/>
      <c r="O29" s="688"/>
      <c r="P29" s="688"/>
      <c r="Q29" s="688"/>
    </row>
    <row r="30" spans="3:17">
      <c r="C30" s="701" t="s">
        <v>53</v>
      </c>
      <c r="D30" s="701"/>
      <c r="E30" s="678">
        <f>E28*E29</f>
        <v>317233715.75617611</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54</v>
      </c>
      <c r="D34" s="682"/>
      <c r="E34" s="706">
        <f>E30</f>
        <v>317233715.75617611</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0.20026899480178309</v>
      </c>
      <c r="F35" s="313"/>
      <c r="G35" s="313"/>
      <c r="H35" s="313"/>
      <c r="I35" s="708"/>
      <c r="J35" s="313"/>
      <c r="K35" s="426"/>
      <c r="Q35" s="426"/>
    </row>
    <row r="36" spans="2:17">
      <c r="C36" s="702" t="s">
        <v>55</v>
      </c>
      <c r="D36" s="538"/>
      <c r="E36" s="709">
        <f>E34*E35</f>
        <v>63532077.371723972</v>
      </c>
      <c r="F36" s="313"/>
      <c r="G36" s="313"/>
      <c r="H36" s="313"/>
      <c r="I36" s="708"/>
      <c r="J36" s="313"/>
      <c r="K36" s="426"/>
      <c r="Q36" s="426"/>
    </row>
    <row r="37" spans="2:17" ht="15">
      <c r="C37" s="660" t="s">
        <v>97</v>
      </c>
      <c r="D37" s="325"/>
      <c r="E37" s="710">
        <f>TCOS!L178</f>
        <v>0</v>
      </c>
      <c r="F37" s="325"/>
      <c r="G37" s="325"/>
      <c r="H37" s="325"/>
      <c r="I37" s="325"/>
      <c r="J37" s="325"/>
      <c r="K37" s="325"/>
      <c r="L37" s="325"/>
      <c r="M37" s="325"/>
      <c r="N37" s="325"/>
      <c r="O37" s="325"/>
      <c r="P37" s="230"/>
      <c r="Q37" s="325"/>
    </row>
    <row r="38" spans="2:17" ht="15">
      <c r="C38" s="660" t="s">
        <v>552</v>
      </c>
      <c r="D38" s="325"/>
      <c r="E38" s="710">
        <f>TCOS!L179</f>
        <v>535775.53522034653</v>
      </c>
      <c r="F38" s="325"/>
      <c r="G38" s="325"/>
      <c r="H38" s="325"/>
      <c r="I38" s="325"/>
      <c r="J38" s="325"/>
      <c r="K38" s="325"/>
      <c r="L38" s="325"/>
      <c r="M38" s="325"/>
      <c r="N38" s="325"/>
      <c r="O38" s="325"/>
      <c r="P38" s="230"/>
      <c r="Q38" s="325"/>
    </row>
    <row r="39" spans="2:17" ht="15">
      <c r="C39" s="660" t="s">
        <v>554</v>
      </c>
      <c r="D39" s="325"/>
      <c r="E39" s="831">
        <f>TCOS!L180</f>
        <v>1279413.784523763</v>
      </c>
      <c r="F39" s="325"/>
      <c r="G39" s="325"/>
      <c r="H39" s="325"/>
      <c r="I39" s="325"/>
      <c r="J39" s="325"/>
      <c r="K39" s="325"/>
      <c r="L39" s="325"/>
      <c r="M39" s="325"/>
      <c r="N39" s="325"/>
      <c r="O39" s="325"/>
      <c r="P39" s="230"/>
      <c r="Q39" s="325"/>
    </row>
    <row r="40" spans="2:17" ht="15">
      <c r="C40" s="702" t="s">
        <v>56</v>
      </c>
      <c r="D40" s="325"/>
      <c r="E40" s="710">
        <f>E36+E37+E38+E39</f>
        <v>65347266.691468082</v>
      </c>
      <c r="F40" s="325"/>
      <c r="G40" s="325"/>
      <c r="H40" s="325"/>
      <c r="I40" s="325"/>
      <c r="J40" s="325"/>
      <c r="K40" s="325"/>
      <c r="L40" s="325"/>
      <c r="M40" s="325"/>
      <c r="N40" s="325"/>
      <c r="O40" s="325"/>
      <c r="P40" s="188"/>
      <c r="Q40" s="325"/>
    </row>
    <row r="41" spans="2:17" ht="12.75" customHeight="1">
      <c r="C41" s="239"/>
      <c r="D41" s="325"/>
      <c r="E41" s="325"/>
      <c r="F41" s="325"/>
      <c r="G41" s="325"/>
      <c r="H41" s="325"/>
      <c r="I41" s="325"/>
      <c r="J41" s="325"/>
      <c r="K41" s="325"/>
      <c r="L41" s="325"/>
      <c r="M41" s="325"/>
      <c r="N41" s="325"/>
      <c r="O41" s="325"/>
      <c r="P41" s="188"/>
      <c r="Q41" s="325"/>
    </row>
    <row r="42" spans="2:17" ht="18.75">
      <c r="B42" s="657" t="s">
        <v>464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2:17" ht="18.75" customHeight="1">
      <c r="C43" s="656" t="str">
        <f>"basis point ROE increase."</f>
        <v>basis point ROE increase.</v>
      </c>
      <c r="D43" s="325"/>
      <c r="E43" s="325"/>
      <c r="F43" s="325"/>
      <c r="G43" s="325"/>
      <c r="H43" s="325"/>
      <c r="I43" s="325"/>
      <c r="J43" s="325"/>
      <c r="K43" s="325"/>
      <c r="L43" s="325"/>
      <c r="M43" s="325"/>
      <c r="N43" s="325"/>
      <c r="O43" s="325"/>
      <c r="P43" s="188"/>
      <c r="Q43" s="325"/>
    </row>
    <row r="44" spans="2:17" ht="12.75" customHeight="1">
      <c r="C44" s="656"/>
      <c r="D44" s="325"/>
      <c r="E44" s="325"/>
      <c r="F44" s="325"/>
      <c r="G44" s="325"/>
      <c r="H44" s="325"/>
      <c r="I44" s="325"/>
      <c r="J44" s="325"/>
      <c r="K44" s="325"/>
      <c r="L44" s="325"/>
      <c r="M44" s="325"/>
      <c r="N44" s="325"/>
      <c r="O44" s="325"/>
      <c r="P44" s="188"/>
      <c r="Q44" s="325"/>
    </row>
    <row r="45" spans="2:17" ht="15.75">
      <c r="C45" s="659" t="s">
        <v>253</v>
      </c>
      <c r="D45" s="325"/>
      <c r="E45" s="325"/>
      <c r="F45" s="324"/>
      <c r="G45" s="324"/>
      <c r="H45" s="325"/>
      <c r="I45" s="325"/>
      <c r="J45" s="325"/>
      <c r="K45" s="325"/>
      <c r="L45" s="325"/>
      <c r="M45" s="325"/>
      <c r="N45" s="325"/>
      <c r="O45" s="325"/>
      <c r="P45" s="188"/>
      <c r="Q45" s="325"/>
    </row>
    <row r="46" spans="2:17">
      <c r="B46" s="347"/>
      <c r="C46" s="712"/>
      <c r="D46" s="713"/>
      <c r="E46" s="713"/>
      <c r="F46" s="713"/>
      <c r="G46" s="713"/>
      <c r="H46" s="713"/>
      <c r="I46" s="713"/>
      <c r="J46" s="713"/>
      <c r="K46" s="713"/>
      <c r="L46" s="713"/>
      <c r="M46" s="713"/>
      <c r="N46" s="713"/>
      <c r="O46" s="713"/>
      <c r="P46" s="710"/>
      <c r="Q46" s="713"/>
    </row>
    <row r="47" spans="2:17" ht="12.75" customHeight="1">
      <c r="B47" s="347"/>
      <c r="C47" s="660" t="str">
        <f>"   Annual Revenue Requirement  (TCOS, ln "&amp;TCOS!B13&amp;")"</f>
        <v xml:space="preserve">   Annual Revenue Requirement  (TCOS, ln 1)</v>
      </c>
      <c r="D47" s="713"/>
      <c r="E47" s="713"/>
      <c r="F47" s="710">
        <f>TCOS!L13</f>
        <v>816440548.21692109</v>
      </c>
      <c r="G47" s="710"/>
      <c r="H47" s="832" t="s">
        <v>408</v>
      </c>
      <c r="I47" s="713"/>
      <c r="J47" s="713"/>
      <c r="K47" s="713"/>
      <c r="L47" s="713"/>
      <c r="M47" s="713"/>
      <c r="N47" s="713"/>
      <c r="O47" s="713"/>
      <c r="P47" s="710"/>
      <c r="Q47" s="713"/>
    </row>
    <row r="48" spans="2:17" ht="12.75" customHeight="1">
      <c r="B48" s="347"/>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7"/>
      <c r="C49" s="660" t="str">
        <f>"   Return  (TCOS, ln "&amp;TCOS!B183&amp;")"</f>
        <v xml:space="preserve">   Return  (TCOS, ln 109)</v>
      </c>
      <c r="D49" s="713"/>
      <c r="E49" s="713"/>
      <c r="F49" s="715">
        <f>TCOS!L183</f>
        <v>317233715.75617611</v>
      </c>
      <c r="G49" s="715"/>
      <c r="H49" s="716"/>
      <c r="I49" s="716"/>
      <c r="J49" s="716"/>
      <c r="K49" s="716"/>
      <c r="L49" s="716"/>
      <c r="M49" s="716"/>
      <c r="N49" s="716"/>
      <c r="O49" s="716"/>
      <c r="P49" s="710"/>
      <c r="Q49" s="716"/>
    </row>
    <row r="50" spans="2:17">
      <c r="B50" s="347"/>
      <c r="C50" s="660" t="str">
        <f>"   Income Taxes  (TCOS, ln "&amp;TCOS!B181&amp;")"</f>
        <v xml:space="preserve">   Income Taxes  (TCOS, ln 108)</v>
      </c>
      <c r="D50" s="713"/>
      <c r="E50" s="713"/>
      <c r="F50" s="717">
        <f>TCOS!L181</f>
        <v>65347266.691468082</v>
      </c>
      <c r="G50" s="717"/>
      <c r="H50" s="713"/>
      <c r="I50" s="713"/>
      <c r="J50" s="718"/>
      <c r="K50" s="718"/>
      <c r="L50" s="718"/>
      <c r="M50" s="718"/>
      <c r="N50" s="718"/>
      <c r="O50" s="718"/>
      <c r="P50" s="713"/>
      <c r="Q50" s="718"/>
    </row>
    <row r="51" spans="2:17">
      <c r="B51" s="347"/>
      <c r="C51" s="1543" t="s">
        <v>616</v>
      </c>
      <c r="D51" s="1544"/>
      <c r="E51" s="713"/>
      <c r="F51" s="715">
        <f>F47-F49-F50-F48</f>
        <v>433859565.76927692</v>
      </c>
      <c r="G51" s="715"/>
      <c r="H51" s="719"/>
      <c r="I51" s="713"/>
      <c r="J51" s="719"/>
      <c r="K51" s="719"/>
      <c r="L51" s="719"/>
      <c r="M51" s="719"/>
      <c r="N51" s="719"/>
      <c r="O51" s="719"/>
      <c r="P51" s="719"/>
      <c r="Q51" s="719"/>
    </row>
    <row r="52" spans="2:17">
      <c r="B52" s="347"/>
      <c r="C52" s="1544"/>
      <c r="D52" s="1544"/>
      <c r="E52" s="713"/>
      <c r="F52" s="710"/>
      <c r="G52" s="710"/>
      <c r="H52" s="720"/>
      <c r="I52" s="721"/>
      <c r="J52" s="721"/>
      <c r="K52" s="721"/>
      <c r="L52" s="721"/>
      <c r="M52" s="721"/>
      <c r="N52" s="721"/>
      <c r="O52" s="721"/>
      <c r="P52" s="721"/>
      <c r="Q52" s="721"/>
    </row>
    <row r="53" spans="2:17" ht="15.75">
      <c r="B53" s="347"/>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7"/>
      <c r="C54" s="712"/>
      <c r="D54" s="722"/>
      <c r="E54" s="722"/>
      <c r="F54" s="710"/>
      <c r="G54" s="710"/>
      <c r="H54" s="720"/>
      <c r="I54" s="721"/>
      <c r="J54" s="721"/>
      <c r="K54" s="721"/>
      <c r="L54" s="721"/>
      <c r="M54" s="721"/>
      <c r="N54" s="721"/>
      <c r="O54" s="721"/>
      <c r="P54" s="721"/>
      <c r="Q54" s="721"/>
    </row>
    <row r="55" spans="2:17">
      <c r="B55" s="347"/>
      <c r="C55" s="714" t="str">
        <f>C51</f>
        <v xml:space="preserve">   Annual Revenue Requirement, Less Lease Payments, Return and Taxes</v>
      </c>
      <c r="D55" s="722"/>
      <c r="E55" s="722"/>
      <c r="F55" s="710">
        <f>F51</f>
        <v>433859565.76927692</v>
      </c>
      <c r="G55" s="710"/>
      <c r="H55" s="713"/>
      <c r="I55" s="713"/>
      <c r="J55" s="713"/>
      <c r="K55" s="713"/>
      <c r="L55" s="713"/>
      <c r="M55" s="713"/>
      <c r="N55" s="713"/>
      <c r="O55" s="713"/>
      <c r="P55" s="723"/>
      <c r="Q55" s="713"/>
    </row>
    <row r="56" spans="2:17">
      <c r="B56" s="347"/>
      <c r="C56" s="664" t="s">
        <v>94</v>
      </c>
      <c r="D56" s="724"/>
      <c r="E56" s="725"/>
      <c r="F56" s="726">
        <f>E30</f>
        <v>317233715.75617611</v>
      </c>
      <c r="G56" s="726"/>
      <c r="H56" s="725"/>
      <c r="I56" s="833"/>
      <c r="J56" s="725"/>
      <c r="K56" s="725"/>
      <c r="L56" s="725"/>
      <c r="M56" s="725"/>
      <c r="N56" s="725"/>
      <c r="O56" s="725"/>
      <c r="P56" s="725"/>
      <c r="Q56" s="725"/>
    </row>
    <row r="57" spans="2:17" ht="12.75" customHeight="1">
      <c r="B57" s="347"/>
      <c r="C57" s="660" t="s">
        <v>62</v>
      </c>
      <c r="D57" s="713"/>
      <c r="E57" s="713"/>
      <c r="F57" s="717">
        <f>E40</f>
        <v>65347266.691468082</v>
      </c>
      <c r="G57" s="717"/>
      <c r="H57" s="313"/>
      <c r="I57" s="708"/>
      <c r="J57" s="313"/>
      <c r="K57" s="426"/>
      <c r="Q57" s="426"/>
    </row>
    <row r="58" spans="2:17">
      <c r="B58" s="347"/>
      <c r="C58" s="725" t="str">
        <f>"   Annual Revenue Requirement, with "&amp;F17&amp;" Basis Point ROE increase"</f>
        <v xml:space="preserve">   Annual Revenue Requirement, with 0 Basis Point ROE increase</v>
      </c>
      <c r="D58" s="538"/>
      <c r="E58" s="313"/>
      <c r="F58" s="709">
        <f>SUM(F55:F57)</f>
        <v>816440548.21692121</v>
      </c>
      <c r="G58" s="709"/>
      <c r="H58" s="313"/>
      <c r="I58" s="708"/>
      <c r="J58" s="313"/>
      <c r="K58" s="426"/>
      <c r="Q58" s="426"/>
    </row>
    <row r="59" spans="2:17">
      <c r="B59" s="347"/>
      <c r="C59" s="660" t="str">
        <f>"   Depreciation  (TCOS, ln "&amp;TCOS!B154&amp;")"</f>
        <v xml:space="preserve">   Depreciation  (TCOS, ln 83)</v>
      </c>
      <c r="D59" s="538"/>
      <c r="E59" s="313"/>
      <c r="F59" s="727">
        <f>TCOS!L154</f>
        <v>151463253</v>
      </c>
      <c r="G59" s="727"/>
      <c r="H59" s="709"/>
      <c r="I59" s="708"/>
      <c r="J59" s="313"/>
      <c r="K59" s="426"/>
      <c r="Q59" s="426"/>
    </row>
    <row r="60" spans="2:17">
      <c r="B60" s="347"/>
      <c r="C60" s="1545" t="str">
        <f>"   Annual Rev. Req, w/ "&amp;F17&amp;" Basis Point ROE increase, less Depreciation"</f>
        <v xml:space="preserve">   Annual Rev. Req, w/ 0 Basis Point ROE increase, less Depreciation</v>
      </c>
      <c r="D60" s="1542"/>
      <c r="E60" s="313"/>
      <c r="F60" s="709">
        <f>F58-F59</f>
        <v>664977295.21692121</v>
      </c>
      <c r="G60" s="709"/>
      <c r="H60" s="313"/>
      <c r="I60" s="708"/>
      <c r="J60" s="313"/>
      <c r="K60" s="426"/>
      <c r="Q60" s="426"/>
    </row>
    <row r="61" spans="2:17">
      <c r="B61" s="347"/>
      <c r="C61" s="1542"/>
      <c r="D61" s="1542"/>
      <c r="E61" s="313"/>
      <c r="F61" s="313"/>
      <c r="G61" s="313"/>
      <c r="H61" s="313"/>
      <c r="I61" s="708"/>
      <c r="J61" s="313"/>
      <c r="K61" s="426"/>
      <c r="Q61" s="426"/>
    </row>
    <row r="62" spans="2:17" ht="15.75">
      <c r="B62" s="347"/>
      <c r="C62" s="659" t="str">
        <f>"C.   Determine FCR with hypothetical "&amp;F17&amp;" basis point ROE increase."</f>
        <v>C.   Determine FCR with hypothetical 0 basis point ROE increase.</v>
      </c>
      <c r="D62" s="538"/>
      <c r="E62" s="313"/>
      <c r="F62" s="313"/>
      <c r="G62" s="313"/>
      <c r="H62" s="313"/>
      <c r="I62" s="708"/>
      <c r="J62" s="313"/>
      <c r="K62" s="426"/>
      <c r="Q62" s="426"/>
    </row>
    <row r="63" spans="2:17">
      <c r="B63" s="347"/>
      <c r="C63" s="313"/>
      <c r="D63" s="538"/>
      <c r="E63" s="313"/>
      <c r="F63" s="313"/>
      <c r="G63" s="313"/>
      <c r="H63" s="313"/>
      <c r="I63" s="708"/>
      <c r="J63" s="313"/>
      <c r="K63" s="426"/>
      <c r="Q63" s="426"/>
    </row>
    <row r="64" spans="2:17">
      <c r="B64" s="347"/>
      <c r="C64" s="660" t="str">
        <f>"   Net Transmission Plant  (Projected TCOS, ln "&amp;TCOS!B79&amp;")"</f>
        <v xml:space="preserve">   Net Transmission Plant  (Projected TCOS, ln 33)</v>
      </c>
      <c r="D64" s="538"/>
      <c r="E64" s="313"/>
      <c r="F64" s="709">
        <f>TCOS!L79</f>
        <v>4601796948.8069229</v>
      </c>
      <c r="G64" s="709"/>
      <c r="H64" s="709"/>
      <c r="I64" s="834"/>
      <c r="J64" s="313"/>
      <c r="K64" s="426"/>
      <c r="Q64" s="426"/>
    </row>
    <row r="65" spans="2:17">
      <c r="B65" s="347"/>
      <c r="C65" s="725" t="str">
        <f>"   Annual Revenue Requirement, with "&amp;F17&amp;" Basis Point ROE increase"</f>
        <v xml:space="preserve">   Annual Revenue Requirement, with 0 Basis Point ROE increase</v>
      </c>
      <c r="D65" s="538"/>
      <c r="E65" s="313"/>
      <c r="F65" s="709">
        <f>F58</f>
        <v>816440548.21692121</v>
      </c>
      <c r="G65" s="709"/>
      <c r="H65" s="313"/>
      <c r="I65" s="708"/>
      <c r="J65" s="313"/>
      <c r="K65" s="426"/>
      <c r="Q65" s="426"/>
    </row>
    <row r="66" spans="2:17">
      <c r="B66" s="347"/>
      <c r="C66" s="725" t="str">
        <f>"   FCR with "&amp;F17&amp;" Basis Point increase in ROE"</f>
        <v xml:space="preserve">   FCR with 0 Basis Point increase in ROE</v>
      </c>
      <c r="D66" s="538"/>
      <c r="E66" s="313"/>
      <c r="F66" s="707">
        <f>IF(F64=0,0,F65/F64)</f>
        <v>0.17741776903663564</v>
      </c>
      <c r="G66" s="707"/>
      <c r="H66" s="707"/>
      <c r="I66" s="708"/>
      <c r="J66" s="313"/>
      <c r="K66" s="426"/>
      <c r="Q66" s="426"/>
    </row>
    <row r="67" spans="2:17">
      <c r="B67" s="347"/>
      <c r="C67" s="208"/>
      <c r="D67" s="538"/>
      <c r="E67" s="313"/>
      <c r="F67" s="347"/>
      <c r="G67" s="347"/>
      <c r="H67" s="313"/>
      <c r="I67" s="708"/>
      <c r="J67" s="313"/>
      <c r="K67" s="426"/>
      <c r="Q67" s="426"/>
    </row>
    <row r="68" spans="2:17">
      <c r="B68" s="347"/>
      <c r="C68" s="725" t="str">
        <f>"   Annual Rev. Req, w / "&amp;F17&amp;" Basis Point ROE increase, less Dep."</f>
        <v xml:space="preserve">   Annual Rev. Req, w / 0 Basis Point ROE increase, less Dep.</v>
      </c>
      <c r="D68" s="538"/>
      <c r="E68" s="313"/>
      <c r="F68" s="709">
        <f>F60</f>
        <v>664977295.21692121</v>
      </c>
      <c r="G68" s="709"/>
      <c r="H68" s="313"/>
      <c r="I68" s="708"/>
      <c r="J68" s="313"/>
      <c r="K68" s="426"/>
      <c r="Q68" s="426"/>
    </row>
    <row r="69" spans="2:17">
      <c r="B69" s="347"/>
      <c r="C69" s="725" t="str">
        <f>"   FCR with "&amp;F17&amp;" Basis Point ROE increase, less Depreciation"</f>
        <v xml:space="preserve">   FCR with 0 Basis Point ROE increase, less Depreciation</v>
      </c>
      <c r="D69" s="538"/>
      <c r="E69" s="313"/>
      <c r="F69" s="707">
        <f>IF(F68=0,0,F68/F64)</f>
        <v>0.14450383244078716</v>
      </c>
      <c r="G69" s="707"/>
      <c r="H69" s="313"/>
      <c r="I69" s="708"/>
      <c r="J69" s="313"/>
      <c r="K69" s="426"/>
      <c r="Q69" s="426"/>
    </row>
    <row r="70" spans="2:17">
      <c r="B70" s="347"/>
      <c r="C70" s="660" t="str">
        <f>"   FCR less Depreciation  (TCOS, ln "&amp;TCOS!B31&amp;")"</f>
        <v xml:space="preserve">   FCR less Depreciation  (TCOS, ln 10)</v>
      </c>
      <c r="D70" s="538"/>
      <c r="E70" s="313"/>
      <c r="F70" s="729">
        <f>TCOS!L31</f>
        <v>0.14450383244078713</v>
      </c>
      <c r="G70" s="729"/>
      <c r="H70" s="313"/>
      <c r="I70" s="708"/>
      <c r="J70" s="313"/>
      <c r="K70" s="426"/>
      <c r="Q70" s="426"/>
    </row>
    <row r="71" spans="2:17">
      <c r="B71" s="347"/>
      <c r="C71" s="1545" t="str">
        <f>"   Incremental FCR with "&amp;F17&amp;" Basis Point ROE increase, less Depreciation"</f>
        <v xml:space="preserve">   Incremental FCR with 0 Basis Point ROE increase, less Depreciation</v>
      </c>
      <c r="D71" s="1542"/>
      <c r="E71" s="313"/>
      <c r="F71" s="707">
        <f>F69-F70</f>
        <v>0</v>
      </c>
      <c r="G71" s="707"/>
      <c r="H71" s="313"/>
      <c r="I71" s="708"/>
      <c r="J71" s="313"/>
      <c r="K71" s="426"/>
      <c r="Q71" s="426"/>
    </row>
    <row r="72" spans="2:17">
      <c r="B72" s="347"/>
      <c r="C72" s="1542"/>
      <c r="D72" s="1542"/>
      <c r="E72" s="313"/>
      <c r="F72" s="707"/>
      <c r="G72" s="707"/>
      <c r="H72" s="313"/>
      <c r="I72" s="708"/>
      <c r="J72" s="313"/>
      <c r="K72" s="426"/>
      <c r="Q72" s="426"/>
    </row>
    <row r="73" spans="2:17" ht="18.75">
      <c r="B73" s="657" t="s">
        <v>465</v>
      </c>
      <c r="C73" s="656" t="s">
        <v>63</v>
      </c>
      <c r="D73" s="538"/>
      <c r="E73" s="313"/>
      <c r="F73" s="707"/>
      <c r="G73" s="707"/>
      <c r="H73" s="313"/>
      <c r="I73" s="708"/>
      <c r="J73" s="313"/>
      <c r="K73" s="426"/>
      <c r="Q73" s="426"/>
    </row>
    <row r="74" spans="2:17">
      <c r="B74" s="347"/>
      <c r="C74" s="725"/>
      <c r="D74" s="538"/>
      <c r="E74" s="313"/>
      <c r="F74" s="707"/>
      <c r="G74" s="707"/>
      <c r="H74" s="313"/>
      <c r="I74" s="708"/>
      <c r="J74" s="313"/>
      <c r="K74" s="426"/>
      <c r="Q74" s="426"/>
    </row>
    <row r="75" spans="2:17">
      <c r="B75" s="347"/>
      <c r="C75" s="725" t="str">
        <f>+"Average Transmission Plant Balance for "&amp;TCOS!L4&amp;" TCOS, ln "&amp;TCOS!B63</f>
        <v>Average Transmission Plant Balance for 2023 TCOS, ln 19</v>
      </c>
      <c r="D75" s="538"/>
      <c r="E75" s="313"/>
      <c r="F75" s="313"/>
      <c r="G75" s="313"/>
      <c r="H75" s="708">
        <f>TCOS!L63</f>
        <v>5269420774.6530771</v>
      </c>
      <c r="J75" s="313"/>
      <c r="K75" s="426"/>
      <c r="Q75" s="426"/>
    </row>
    <row r="76" spans="2:17">
      <c r="B76" s="347"/>
      <c r="C76" s="725" t="str">
        <f>"Annual Depreciation and Amortization Expense (TCOS, ln "&amp;TCOS!B154&amp;")"</f>
        <v>Annual Depreciation and Amortization Expense (TCOS, ln 83)</v>
      </c>
      <c r="D76" s="538"/>
      <c r="E76" s="313"/>
      <c r="H76" s="489">
        <f>TCOS!L154</f>
        <v>151463253</v>
      </c>
      <c r="I76" s="708"/>
      <c r="J76" s="313"/>
      <c r="K76" s="426"/>
      <c r="Q76" s="426"/>
    </row>
    <row r="77" spans="2:17">
      <c r="B77" s="347"/>
      <c r="C77" s="725" t="s">
        <v>64</v>
      </c>
      <c r="D77" s="538"/>
      <c r="E77" s="313"/>
      <c r="H77" s="887">
        <f>H76/H75</f>
        <v>2.8743814448936637E-2</v>
      </c>
      <c r="I77" s="731"/>
      <c r="J77" s="153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K77" s="1538"/>
      <c r="L77" s="1538"/>
      <c r="M77" s="1538"/>
      <c r="N77" s="1538"/>
      <c r="O77" s="1538"/>
      <c r="P77" s="1538"/>
      <c r="Q77" s="658"/>
    </row>
    <row r="78" spans="2:17">
      <c r="B78" s="347"/>
      <c r="C78" s="725" t="s">
        <v>65</v>
      </c>
      <c r="D78" s="538"/>
      <c r="E78" s="313"/>
      <c r="H78" s="732">
        <f>IF(H77=0,0,1/H77)</f>
        <v>34.79009377048753</v>
      </c>
      <c r="I78" s="708"/>
      <c r="J78" s="1538"/>
      <c r="K78" s="1538"/>
      <c r="L78" s="1538"/>
      <c r="M78" s="1538"/>
      <c r="N78" s="1538"/>
      <c r="O78" s="1538"/>
      <c r="P78" s="1538"/>
      <c r="Q78" s="658"/>
    </row>
    <row r="79" spans="2:17">
      <c r="B79" s="347"/>
      <c r="C79" s="725" t="s">
        <v>590</v>
      </c>
      <c r="D79" s="538"/>
      <c r="E79" s="313"/>
      <c r="H79" s="734">
        <f>ROUND(H78,0)</f>
        <v>35</v>
      </c>
      <c r="I79" s="708"/>
      <c r="J79" s="1538"/>
      <c r="K79" s="1538"/>
      <c r="L79" s="1538"/>
      <c r="M79" s="1538"/>
      <c r="N79" s="1538"/>
      <c r="O79" s="1538"/>
      <c r="P79" s="1538"/>
      <c r="Q79" s="658"/>
    </row>
    <row r="80" spans="2:17">
      <c r="B80" s="347"/>
      <c r="C80" s="725"/>
      <c r="D80" s="538"/>
      <c r="E80" s="313"/>
      <c r="H80" s="734"/>
      <c r="I80" s="708"/>
      <c r="J80" s="1538"/>
      <c r="K80" s="1538"/>
      <c r="L80" s="1538"/>
      <c r="M80" s="1538"/>
      <c r="N80" s="1538"/>
      <c r="O80" s="1538"/>
      <c r="P80" s="1538"/>
    </row>
    <row r="81" spans="1:17" ht="20.25">
      <c r="A81" s="737" t="str">
        <f>""&amp;A6&amp;" Worksheet K -  ATRR TRUE-UP Calculation for PJM Projects Charged to Benefiting Zones"</f>
        <v>AEP Ohio Transmission Company Worksheet K -  ATRR TRUE-UP Calculation for PJM Projects Charged to Benefiting Zones</v>
      </c>
      <c r="B81" s="347"/>
      <c r="C81" s="725"/>
      <c r="D81" s="538"/>
      <c r="E81" s="313"/>
      <c r="F81" s="707"/>
      <c r="G81" s="707"/>
      <c r="H81" s="313"/>
      <c r="I81" s="708"/>
      <c r="L81" s="564"/>
      <c r="M81" s="564"/>
      <c r="N81" s="564"/>
      <c r="O81" s="653" t="str">
        <f>"Page "&amp;SUM(Q$8:Q81)&amp;" of "</f>
        <v xml:space="preserve">Page 2 of </v>
      </c>
      <c r="P81" s="654">
        <f>COUNT(Q$8:Q$57703)</f>
        <v>22</v>
      </c>
      <c r="Q81" s="738">
        <v>1</v>
      </c>
    </row>
    <row r="82" spans="1:17">
      <c r="B82" s="347"/>
      <c r="C82" s="313"/>
      <c r="D82" s="538"/>
      <c r="E82" s="313"/>
      <c r="F82" s="313"/>
      <c r="G82" s="313"/>
      <c r="H82" s="313"/>
      <c r="I82" s="708"/>
      <c r="J82" s="313"/>
      <c r="K82" s="426"/>
    </row>
    <row r="83" spans="1:17" ht="18">
      <c r="B83" s="657" t="s">
        <v>466</v>
      </c>
      <c r="C83" s="739" t="s">
        <v>85</v>
      </c>
      <c r="D83" s="538"/>
      <c r="E83" s="313"/>
      <c r="F83" s="313"/>
      <c r="G83" s="313"/>
      <c r="H83" s="313"/>
      <c r="I83" s="708"/>
      <c r="J83" s="708"/>
      <c r="K83" s="730"/>
      <c r="L83" s="708"/>
      <c r="M83" s="708"/>
      <c r="N83" s="708"/>
      <c r="O83" s="708"/>
      <c r="Q83" s="426"/>
    </row>
    <row r="84" spans="1:17" ht="18.75">
      <c r="B84" s="657"/>
      <c r="C84" s="656"/>
      <c r="D84" s="538"/>
      <c r="E84" s="313"/>
      <c r="F84" s="313"/>
      <c r="G84" s="313"/>
      <c r="H84" s="313"/>
      <c r="I84" s="708"/>
      <c r="J84" s="708"/>
      <c r="K84" s="730"/>
      <c r="L84" s="708"/>
      <c r="M84" s="708"/>
      <c r="N84" s="708"/>
      <c r="O84" s="708"/>
    </row>
    <row r="85" spans="1:17" ht="18.75">
      <c r="B85" s="657"/>
      <c r="C85" s="656" t="s">
        <v>86</v>
      </c>
      <c r="D85" s="538"/>
      <c r="E85" s="313"/>
      <c r="F85" s="313"/>
      <c r="G85" s="313"/>
      <c r="H85" s="313"/>
      <c r="I85" s="708"/>
      <c r="J85" s="708"/>
      <c r="K85" s="730"/>
      <c r="L85" s="708"/>
      <c r="M85" s="708"/>
      <c r="N85" s="708"/>
      <c r="O85" s="708"/>
    </row>
    <row r="86" spans="1:17" ht="15.75" thickBot="1">
      <c r="C86" s="239"/>
      <c r="D86" s="538"/>
      <c r="E86" s="313"/>
      <c r="F86" s="313"/>
      <c r="G86" s="313"/>
      <c r="H86" s="313"/>
      <c r="I86" s="708"/>
      <c r="J86" s="708"/>
      <c r="K86" s="730"/>
      <c r="L86" s="708"/>
      <c r="M86" s="708"/>
      <c r="N86" s="708"/>
      <c r="O86" s="708"/>
    </row>
    <row r="87" spans="1:17" ht="15.75">
      <c r="C87" s="659" t="s">
        <v>87</v>
      </c>
      <c r="D87" s="538"/>
      <c r="E87" s="313"/>
      <c r="F87" s="313"/>
      <c r="G87" s="313"/>
      <c r="H87" s="806"/>
      <c r="I87" s="313" t="s">
        <v>66</v>
      </c>
      <c r="J87" s="313"/>
      <c r="K87" s="426"/>
      <c r="L87" s="835">
        <f>+J93</f>
        <v>2023</v>
      </c>
      <c r="M87" s="816" t="s">
        <v>45</v>
      </c>
      <c r="N87" s="816" t="s">
        <v>46</v>
      </c>
      <c r="O87" s="817" t="s">
        <v>47</v>
      </c>
    </row>
    <row r="88" spans="1:17" ht="15.75">
      <c r="C88" s="659"/>
      <c r="D88" s="538"/>
      <c r="E88" s="313"/>
      <c r="F88" s="313"/>
      <c r="H88" s="313"/>
      <c r="I88" s="744"/>
      <c r="J88" s="744"/>
      <c r="K88" s="745"/>
      <c r="L88" s="836" t="s">
        <v>235</v>
      </c>
      <c r="M88" s="837">
        <f>VLOOKUP(J93,C100:P159,10)</f>
        <v>1408145.5058295655</v>
      </c>
      <c r="N88" s="837">
        <f>VLOOKUP(J93,C100:P159,12)</f>
        <v>1408145.5058295655</v>
      </c>
      <c r="O88" s="838">
        <f>+N88-M88</f>
        <v>0</v>
      </c>
    </row>
    <row r="89" spans="1:17">
      <c r="C89" s="749" t="s">
        <v>88</v>
      </c>
      <c r="D89" s="1537" t="s">
        <v>807</v>
      </c>
      <c r="E89" s="1537"/>
      <c r="F89" s="1537"/>
      <c r="G89" s="1537"/>
      <c r="H89" s="1537"/>
      <c r="I89" s="1537"/>
      <c r="J89" s="708"/>
      <c r="K89" s="730"/>
      <c r="L89" s="836" t="s">
        <v>236</v>
      </c>
      <c r="M89" s="839">
        <f>VLOOKUP(J93,C100:P159,6)</f>
        <v>1349399.0617994238</v>
      </c>
      <c r="N89" s="839">
        <f>VLOOKUP(J93,C100:P159,7)</f>
        <v>1349399.0617994238</v>
      </c>
      <c r="O89" s="840">
        <f>+N89-M89</f>
        <v>0</v>
      </c>
    </row>
    <row r="90" spans="1:17" ht="13.5" thickBot="1">
      <c r="C90" s="753"/>
      <c r="D90" s="754"/>
      <c r="E90" s="734"/>
      <c r="F90" s="734"/>
      <c r="G90" s="734"/>
      <c r="H90" s="755"/>
      <c r="I90" s="708"/>
      <c r="J90" s="708"/>
      <c r="K90" s="730"/>
      <c r="L90" s="772" t="s">
        <v>237</v>
      </c>
      <c r="M90" s="841">
        <f>+M89-M88</f>
        <v>-58746.444030141691</v>
      </c>
      <c r="N90" s="841">
        <f>+N89-N88</f>
        <v>-58746.444030141691</v>
      </c>
      <c r="O90" s="842">
        <f>+O89-O88</f>
        <v>0</v>
      </c>
    </row>
    <row r="91" spans="1:17" ht="13.5" thickBot="1">
      <c r="C91" s="756"/>
      <c r="D91" s="757"/>
      <c r="E91" s="755"/>
      <c r="F91" s="755"/>
      <c r="G91" s="755"/>
      <c r="H91" s="755"/>
      <c r="I91" s="755"/>
      <c r="J91" s="755"/>
      <c r="K91" s="758"/>
      <c r="L91" s="755"/>
      <c r="M91" s="755"/>
      <c r="N91" s="755"/>
      <c r="O91" s="755"/>
      <c r="P91" s="347"/>
    </row>
    <row r="92" spans="1:17" ht="13.5" thickBot="1">
      <c r="C92" s="759" t="s">
        <v>89</v>
      </c>
      <c r="D92" s="760"/>
      <c r="E92" s="760"/>
      <c r="F92" s="760"/>
      <c r="G92" s="760"/>
      <c r="H92" s="760"/>
      <c r="I92" s="760"/>
      <c r="J92" s="760"/>
      <c r="K92" s="762"/>
      <c r="P92" s="763"/>
    </row>
    <row r="93" spans="1:17" ht="15">
      <c r="C93" s="764" t="s">
        <v>67</v>
      </c>
      <c r="D93" s="808">
        <v>10402068.27</v>
      </c>
      <c r="E93" s="725" t="s">
        <v>68</v>
      </c>
      <c r="H93" s="765"/>
      <c r="I93" s="765"/>
      <c r="J93" s="766">
        <v>2023</v>
      </c>
      <c r="K93" s="554"/>
      <c r="L93" s="1536" t="s">
        <v>69</v>
      </c>
      <c r="M93" s="1536"/>
      <c r="N93" s="1536"/>
      <c r="O93" s="1536"/>
      <c r="P93" s="426"/>
    </row>
    <row r="94" spans="1:17">
      <c r="C94" s="764" t="s">
        <v>70</v>
      </c>
      <c r="D94" s="809">
        <v>2012</v>
      </c>
      <c r="E94" s="764" t="s">
        <v>71</v>
      </c>
      <c r="F94" s="765"/>
      <c r="G94" s="765"/>
      <c r="I94" s="172"/>
      <c r="J94" s="810">
        <f>IF(H87="",0,$F$17)</f>
        <v>0</v>
      </c>
      <c r="K94" s="767"/>
      <c r="L94" s="730" t="s">
        <v>277</v>
      </c>
      <c r="P94" s="426"/>
    </row>
    <row r="95" spans="1:17">
      <c r="C95" s="764" t="s">
        <v>72</v>
      </c>
      <c r="D95" s="808">
        <v>12</v>
      </c>
      <c r="E95" s="764" t="s">
        <v>73</v>
      </c>
      <c r="F95" s="765"/>
      <c r="G95" s="765"/>
      <c r="I95" s="172"/>
      <c r="J95" s="768">
        <f>$F$70</f>
        <v>0.14450383244078713</v>
      </c>
      <c r="K95" s="769"/>
      <c r="L95" s="313" t="str">
        <f>"          INPUT TRUE-UP ARR (WITH &amp; WITHOUT INCENTIVES) FROM EACH PRIOR YEAR"</f>
        <v xml:space="preserve">          INPUT TRUE-UP ARR (WITH &amp; WITHOUT INCENTIVES) FROM EACH PRIOR YEAR</v>
      </c>
      <c r="P95" s="426"/>
    </row>
    <row r="96" spans="1:17">
      <c r="C96" s="764" t="s">
        <v>74</v>
      </c>
      <c r="D96" s="770">
        <f>H$79</f>
        <v>35</v>
      </c>
      <c r="E96" s="764" t="s">
        <v>75</v>
      </c>
      <c r="F96" s="765"/>
      <c r="G96" s="765"/>
      <c r="I96" s="172"/>
      <c r="J96" s="768">
        <f>IF(H87="",+J95,$F$69)</f>
        <v>0.14450383244078713</v>
      </c>
      <c r="K96" s="771"/>
      <c r="L96" s="313" t="s">
        <v>157</v>
      </c>
      <c r="M96" s="771"/>
      <c r="N96" s="771"/>
      <c r="O96" s="771"/>
      <c r="P96" s="426"/>
    </row>
    <row r="97" spans="2:16" ht="13.5" thickBot="1">
      <c r="C97" s="764" t="s">
        <v>76</v>
      </c>
      <c r="D97" s="807" t="s">
        <v>808</v>
      </c>
      <c r="E97" s="772" t="s">
        <v>77</v>
      </c>
      <c r="F97" s="773"/>
      <c r="G97" s="773"/>
      <c r="H97" s="774"/>
      <c r="I97" s="774"/>
      <c r="J97" s="752">
        <f>IF(D93=0,0,D93/D96)</f>
        <v>297201.95057142858</v>
      </c>
      <c r="K97" s="730"/>
      <c r="L97" s="730" t="s">
        <v>158</v>
      </c>
      <c r="M97" s="730"/>
      <c r="N97" s="730"/>
      <c r="O97" s="730"/>
      <c r="P97" s="426"/>
    </row>
    <row r="98" spans="2:16" ht="38.25">
      <c r="B98" s="845"/>
      <c r="C98" s="775" t="s">
        <v>67</v>
      </c>
      <c r="D98" s="776" t="s">
        <v>78</v>
      </c>
      <c r="E98" s="777" t="s">
        <v>79</v>
      </c>
      <c r="F98" s="776" t="s">
        <v>80</v>
      </c>
      <c r="G98" s="776" t="s">
        <v>238</v>
      </c>
      <c r="H98" s="777" t="s">
        <v>151</v>
      </c>
      <c r="I98" s="778" t="s">
        <v>151</v>
      </c>
      <c r="J98" s="775" t="s">
        <v>90</v>
      </c>
      <c r="K98" s="779"/>
      <c r="L98" s="777" t="s">
        <v>153</v>
      </c>
      <c r="M98" s="777" t="s">
        <v>159</v>
      </c>
      <c r="N98" s="777" t="s">
        <v>153</v>
      </c>
      <c r="O98" s="777" t="s">
        <v>161</v>
      </c>
      <c r="P98" s="777" t="s">
        <v>81</v>
      </c>
    </row>
    <row r="99" spans="2:16" ht="13.5" thickBot="1">
      <c r="C99" s="781" t="s">
        <v>469</v>
      </c>
      <c r="D99" s="782" t="s">
        <v>470</v>
      </c>
      <c r="E99" s="781" t="s">
        <v>363</v>
      </c>
      <c r="F99" s="782" t="s">
        <v>470</v>
      </c>
      <c r="G99" s="782" t="s">
        <v>470</v>
      </c>
      <c r="H99" s="783" t="s">
        <v>93</v>
      </c>
      <c r="I99" s="784" t="s">
        <v>95</v>
      </c>
      <c r="J99" s="785" t="s">
        <v>15</v>
      </c>
      <c r="K99" s="786"/>
      <c r="L99" s="783" t="s">
        <v>82</v>
      </c>
      <c r="M99" s="783" t="s">
        <v>82</v>
      </c>
      <c r="N99" s="783" t="s">
        <v>255</v>
      </c>
      <c r="O99" s="783" t="s">
        <v>255</v>
      </c>
      <c r="P99" s="783" t="s">
        <v>255</v>
      </c>
    </row>
    <row r="100" spans="2:16">
      <c r="C100" s="788">
        <f>IF(D94= "","-",D94)</f>
        <v>2012</v>
      </c>
      <c r="D100" s="736">
        <f>+D93</f>
        <v>10402068.27</v>
      </c>
      <c r="E100" s="794">
        <f>+J97/12*(12-D95)</f>
        <v>0</v>
      </c>
      <c r="F100" s="843">
        <f t="shared" ref="F100:F159" si="0">+D100-E100</f>
        <v>10402068.27</v>
      </c>
      <c r="G100" s="736">
        <f>+(D100+F100)/2</f>
        <v>10402068.27</v>
      </c>
      <c r="H100" s="790">
        <f>+J95*G100+E100</f>
        <v>1503138.7303257084</v>
      </c>
      <c r="I100" s="791">
        <f>+J96*G100+E100</f>
        <v>1503138.7303257084</v>
      </c>
      <c r="J100" s="792">
        <f>+I100-H100</f>
        <v>0</v>
      </c>
      <c r="K100" s="792"/>
      <c r="L100" s="811">
        <v>747660</v>
      </c>
      <c r="M100" s="844">
        <f t="shared" ref="M100:M159" si="1">IF(L100&lt;&gt;0,+H100-L100,0)</f>
        <v>755478.7303257084</v>
      </c>
      <c r="N100" s="811">
        <v>747660</v>
      </c>
      <c r="O100" s="844">
        <f t="shared" ref="O100:O159" si="2">IF(N100&lt;&gt;0,+I100-N100,0)</f>
        <v>755478.7303257084</v>
      </c>
      <c r="P100" s="844">
        <f t="shared" ref="P100:P159" si="3">+O100-M100</f>
        <v>0</v>
      </c>
    </row>
    <row r="101" spans="2:16">
      <c r="C101" s="788">
        <f>IF(D94="","-",+C100+1)</f>
        <v>2013</v>
      </c>
      <c r="D101" s="736">
        <f t="shared" ref="D101:D159" si="4">F100</f>
        <v>10402068.27</v>
      </c>
      <c r="E101" s="789">
        <f>IF(D101&gt;$J$97,$J$97,D101)</f>
        <v>297201.95057142858</v>
      </c>
      <c r="F101" s="789">
        <f t="shared" si="0"/>
        <v>10104866.319428571</v>
      </c>
      <c r="G101" s="736">
        <f t="shared" ref="G101:G159" si="5">+(D101+F101)/2</f>
        <v>10253467.294714285</v>
      </c>
      <c r="H101" s="794">
        <f>+J95*G101+E101</f>
        <v>1778867.2704639125</v>
      </c>
      <c r="I101" s="795">
        <f>+J96*G101+E101</f>
        <v>1778867.2704639125</v>
      </c>
      <c r="J101" s="792">
        <f>+I101-H101</f>
        <v>0</v>
      </c>
      <c r="K101" s="792"/>
      <c r="L101" s="812">
        <v>1093780</v>
      </c>
      <c r="M101" s="792">
        <f t="shared" si="1"/>
        <v>685087.27046391251</v>
      </c>
      <c r="N101" s="812">
        <v>1093780</v>
      </c>
      <c r="O101" s="792">
        <f t="shared" si="2"/>
        <v>685087.27046391251</v>
      </c>
      <c r="P101" s="792">
        <f t="shared" si="3"/>
        <v>0</v>
      </c>
    </row>
    <row r="102" spans="2:16">
      <c r="C102" s="788">
        <f>IF(D94="","-",+C101+1)</f>
        <v>2014</v>
      </c>
      <c r="D102" s="736">
        <f t="shared" si="4"/>
        <v>10104866.319428571</v>
      </c>
      <c r="E102" s="789">
        <f t="shared" ref="E102:E159" si="6">IF(D102&gt;$J$97,$J$97,D102)</f>
        <v>297201.95057142858</v>
      </c>
      <c r="F102" s="789">
        <f t="shared" si="0"/>
        <v>9807664.3688571416</v>
      </c>
      <c r="G102" s="736">
        <f t="shared" si="5"/>
        <v>9956265.3441428561</v>
      </c>
      <c r="H102" s="794">
        <f>+J95*G102+E102</f>
        <v>1735920.4495974635</v>
      </c>
      <c r="I102" s="795">
        <f>+J96*G102+E102</f>
        <v>1735920.4495974635</v>
      </c>
      <c r="J102" s="792">
        <f t="shared" ref="J102:J159" si="7">+I102-H102</f>
        <v>0</v>
      </c>
      <c r="K102" s="792"/>
      <c r="L102" s="812">
        <v>1212574</v>
      </c>
      <c r="M102" s="792">
        <f t="shared" si="1"/>
        <v>523346.44959746348</v>
      </c>
      <c r="N102" s="812">
        <v>1212574</v>
      </c>
      <c r="O102" s="792">
        <f t="shared" si="2"/>
        <v>523346.44959746348</v>
      </c>
      <c r="P102" s="792">
        <f t="shared" si="3"/>
        <v>0</v>
      </c>
    </row>
    <row r="103" spans="2:16">
      <c r="C103" s="788">
        <f>IF(D94="","-",+C102+1)</f>
        <v>2015</v>
      </c>
      <c r="D103" s="736">
        <f t="shared" si="4"/>
        <v>9807664.3688571416</v>
      </c>
      <c r="E103" s="789">
        <f t="shared" si="6"/>
        <v>297201.95057142858</v>
      </c>
      <c r="F103" s="789">
        <f t="shared" si="0"/>
        <v>9510462.4182857126</v>
      </c>
      <c r="G103" s="736">
        <f t="shared" si="5"/>
        <v>9659063.3935714271</v>
      </c>
      <c r="H103" s="794">
        <f>+J95*G103+E103</f>
        <v>1692973.6287310147</v>
      </c>
      <c r="I103" s="795">
        <f>+J96*G103+E103</f>
        <v>1692973.6287310147</v>
      </c>
      <c r="J103" s="792">
        <f t="shared" si="7"/>
        <v>0</v>
      </c>
      <c r="K103" s="792"/>
      <c r="L103" s="812">
        <v>1166857</v>
      </c>
      <c r="M103" s="792">
        <f t="shared" si="1"/>
        <v>526116.62873101467</v>
      </c>
      <c r="N103" s="812">
        <v>1166857</v>
      </c>
      <c r="O103" s="792">
        <f t="shared" si="2"/>
        <v>526116.62873101467</v>
      </c>
      <c r="P103" s="792">
        <f t="shared" si="3"/>
        <v>0</v>
      </c>
    </row>
    <row r="104" spans="2:16">
      <c r="C104" s="788">
        <f>IF(D94="","-",+C103+1)</f>
        <v>2016</v>
      </c>
      <c r="D104" s="736">
        <f t="shared" si="4"/>
        <v>9510462.4182857126</v>
      </c>
      <c r="E104" s="789">
        <f t="shared" si="6"/>
        <v>297201.95057142858</v>
      </c>
      <c r="F104" s="789">
        <f t="shared" si="0"/>
        <v>9213260.4677142836</v>
      </c>
      <c r="G104" s="736">
        <f t="shared" si="5"/>
        <v>9361861.4429999981</v>
      </c>
      <c r="H104" s="794">
        <f>+J95*G104+E104</f>
        <v>1650026.8078645659</v>
      </c>
      <c r="I104" s="795">
        <f>+J96*G104+E104</f>
        <v>1650026.8078645659</v>
      </c>
      <c r="J104" s="792">
        <f t="shared" si="7"/>
        <v>0</v>
      </c>
      <c r="K104" s="792"/>
      <c r="L104" s="812">
        <v>1271115</v>
      </c>
      <c r="M104" s="792">
        <f t="shared" si="1"/>
        <v>378911.80786456587</v>
      </c>
      <c r="N104" s="812">
        <v>1271115</v>
      </c>
      <c r="O104" s="792">
        <f t="shared" si="2"/>
        <v>378911.80786456587</v>
      </c>
      <c r="P104" s="792">
        <f t="shared" si="3"/>
        <v>0</v>
      </c>
    </row>
    <row r="105" spans="2:16">
      <c r="C105" s="788">
        <f>IF(D94="","-",+C104+1)</f>
        <v>2017</v>
      </c>
      <c r="D105" s="736">
        <f t="shared" si="4"/>
        <v>9213260.4677142836</v>
      </c>
      <c r="E105" s="789">
        <f t="shared" si="6"/>
        <v>297201.95057142858</v>
      </c>
      <c r="F105" s="789">
        <f t="shared" si="0"/>
        <v>8916058.5171428546</v>
      </c>
      <c r="G105" s="736">
        <f t="shared" si="5"/>
        <v>9064659.4924285691</v>
      </c>
      <c r="H105" s="794">
        <f>+J95*G105+E105</f>
        <v>1607079.9869981171</v>
      </c>
      <c r="I105" s="795">
        <f>+J96*G105+E105</f>
        <v>1607079.9869981171</v>
      </c>
      <c r="J105" s="792">
        <f t="shared" si="7"/>
        <v>0</v>
      </c>
      <c r="K105" s="792"/>
      <c r="L105" s="812">
        <v>1517047</v>
      </c>
      <c r="M105" s="792">
        <f t="shared" si="1"/>
        <v>90032.986998117063</v>
      </c>
      <c r="N105" s="812">
        <v>1517047</v>
      </c>
      <c r="O105" s="792">
        <f t="shared" si="2"/>
        <v>90032.986998117063</v>
      </c>
      <c r="P105" s="792">
        <f t="shared" si="3"/>
        <v>0</v>
      </c>
    </row>
    <row r="106" spans="2:16">
      <c r="C106" s="788">
        <f>IF(D94="","-",+C105+1)</f>
        <v>2018</v>
      </c>
      <c r="D106" s="1402">
        <f t="shared" si="4"/>
        <v>8916058.5171428546</v>
      </c>
      <c r="E106" s="789">
        <f t="shared" si="6"/>
        <v>297201.95057142858</v>
      </c>
      <c r="F106" s="789">
        <f t="shared" si="0"/>
        <v>8618856.5665714256</v>
      </c>
      <c r="G106" s="736">
        <f t="shared" si="5"/>
        <v>8767457.5418571401</v>
      </c>
      <c r="H106" s="794">
        <f>+J95*G106+E106</f>
        <v>1564133.166131668</v>
      </c>
      <c r="I106" s="795">
        <f>+J96*G106+E106</f>
        <v>1564133.166131668</v>
      </c>
      <c r="J106" s="792">
        <f t="shared" si="7"/>
        <v>0</v>
      </c>
      <c r="K106" s="792"/>
      <c r="L106" s="812">
        <v>1527231</v>
      </c>
      <c r="M106" s="792">
        <f t="shared" si="1"/>
        <v>36902.166131668026</v>
      </c>
      <c r="N106" s="812">
        <v>1527231</v>
      </c>
      <c r="O106" s="792">
        <f t="shared" si="2"/>
        <v>36902.166131668026</v>
      </c>
      <c r="P106" s="792">
        <f t="shared" si="3"/>
        <v>0</v>
      </c>
    </row>
    <row r="107" spans="2:16">
      <c r="C107" s="788">
        <f>IF(D94="","-",+C106+1)</f>
        <v>2019</v>
      </c>
      <c r="D107" s="736">
        <f t="shared" si="4"/>
        <v>8618856.5665714256</v>
      </c>
      <c r="E107" s="789">
        <f t="shared" si="6"/>
        <v>297201.95057142858</v>
      </c>
      <c r="F107" s="789">
        <f t="shared" si="0"/>
        <v>8321654.6159999967</v>
      </c>
      <c r="G107" s="736">
        <f t="shared" si="5"/>
        <v>8470255.5912857112</v>
      </c>
      <c r="H107" s="794">
        <f>+J95*G107+E107</f>
        <v>1521186.3452652192</v>
      </c>
      <c r="I107" s="795">
        <f>+J96*G107+E107</f>
        <v>1521186.3452652192</v>
      </c>
      <c r="J107" s="792">
        <f t="shared" si="7"/>
        <v>0</v>
      </c>
      <c r="K107" s="792"/>
      <c r="L107" s="812">
        <v>1559916.9071125546</v>
      </c>
      <c r="M107" s="792">
        <f t="shared" si="1"/>
        <v>-38730.561847335426</v>
      </c>
      <c r="N107" s="812">
        <v>1559916.9071125546</v>
      </c>
      <c r="O107" s="792">
        <f t="shared" si="2"/>
        <v>-38730.561847335426</v>
      </c>
      <c r="P107" s="792">
        <f t="shared" si="3"/>
        <v>0</v>
      </c>
    </row>
    <row r="108" spans="2:16">
      <c r="C108" s="788">
        <f>IF(D94="","-",+C107+1)</f>
        <v>2020</v>
      </c>
      <c r="D108" s="736">
        <f t="shared" si="4"/>
        <v>8321654.6159999967</v>
      </c>
      <c r="E108" s="789">
        <f t="shared" si="6"/>
        <v>297201.95057142858</v>
      </c>
      <c r="F108" s="789">
        <f t="shared" si="0"/>
        <v>8024452.6654285677</v>
      </c>
      <c r="G108" s="736">
        <f t="shared" si="5"/>
        <v>8173053.6407142822</v>
      </c>
      <c r="H108" s="794">
        <f>+J95*G108+E108</f>
        <v>1478239.5243987704</v>
      </c>
      <c r="I108" s="795">
        <f>+J96*G108+E108</f>
        <v>1478239.5243987704</v>
      </c>
      <c r="J108" s="792">
        <f t="shared" si="7"/>
        <v>0</v>
      </c>
      <c r="K108" s="792"/>
      <c r="L108" s="812">
        <v>1626375.9034871729</v>
      </c>
      <c r="M108" s="792">
        <f t="shared" si="1"/>
        <v>-148136.37908840249</v>
      </c>
      <c r="N108" s="812">
        <v>1626375.9034871729</v>
      </c>
      <c r="O108" s="792">
        <f t="shared" si="2"/>
        <v>-148136.37908840249</v>
      </c>
      <c r="P108" s="792">
        <f t="shared" si="3"/>
        <v>0</v>
      </c>
    </row>
    <row r="109" spans="2:16">
      <c r="C109" s="788">
        <f>IF(D94="","-",+C108+1)</f>
        <v>2021</v>
      </c>
      <c r="D109" s="736">
        <f t="shared" si="4"/>
        <v>8024452.6654285677</v>
      </c>
      <c r="E109" s="789">
        <f t="shared" si="6"/>
        <v>297201.95057142858</v>
      </c>
      <c r="F109" s="789">
        <f t="shared" si="0"/>
        <v>7727250.7148571387</v>
      </c>
      <c r="G109" s="736">
        <f t="shared" si="5"/>
        <v>7875851.6901428532</v>
      </c>
      <c r="H109" s="794">
        <f>+J95*G109+E109</f>
        <v>1435292.7035323214</v>
      </c>
      <c r="I109" s="795">
        <f>+J96*G109+E109</f>
        <v>1435292.7035323214</v>
      </c>
      <c r="J109" s="792">
        <f t="shared" si="7"/>
        <v>0</v>
      </c>
      <c r="K109" s="792"/>
      <c r="L109" s="812">
        <v>1457958.8661891653</v>
      </c>
      <c r="M109" s="792">
        <f t="shared" si="1"/>
        <v>-22666.162656843895</v>
      </c>
      <c r="N109" s="812">
        <v>1457958.8661891653</v>
      </c>
      <c r="O109" s="792">
        <f t="shared" si="2"/>
        <v>-22666.162656843895</v>
      </c>
      <c r="P109" s="792">
        <f t="shared" si="3"/>
        <v>0</v>
      </c>
    </row>
    <row r="110" spans="2:16">
      <c r="C110" s="788">
        <f>IF(D94="","-",+C109+1)</f>
        <v>2022</v>
      </c>
      <c r="D110" s="736">
        <f t="shared" si="4"/>
        <v>7727250.7148571387</v>
      </c>
      <c r="E110" s="789">
        <f t="shared" si="6"/>
        <v>297201.95057142858</v>
      </c>
      <c r="F110" s="789">
        <f t="shared" si="0"/>
        <v>7430048.7642857097</v>
      </c>
      <c r="G110" s="736">
        <f t="shared" si="5"/>
        <v>7578649.7395714242</v>
      </c>
      <c r="H110" s="794">
        <f>+J95*G110+E110</f>
        <v>1392345.8826658726</v>
      </c>
      <c r="I110" s="795">
        <f>+J96*G110+E110</f>
        <v>1392345.8826658726</v>
      </c>
      <c r="J110" s="792">
        <f t="shared" si="7"/>
        <v>0</v>
      </c>
      <c r="K110" s="792"/>
      <c r="L110" s="812">
        <v>1450434.6830892873</v>
      </c>
      <c r="M110" s="792">
        <f t="shared" si="1"/>
        <v>-58088.800423414679</v>
      </c>
      <c r="N110" s="812">
        <v>1450434.6830892873</v>
      </c>
      <c r="O110" s="792">
        <f t="shared" si="2"/>
        <v>-58088.800423414679</v>
      </c>
      <c r="P110" s="792">
        <f t="shared" si="3"/>
        <v>0</v>
      </c>
    </row>
    <row r="111" spans="2:16">
      <c r="C111" s="788">
        <f>IF(D94="","-",+C110+1)</f>
        <v>2023</v>
      </c>
      <c r="D111" s="736">
        <f t="shared" si="4"/>
        <v>7430048.7642857097</v>
      </c>
      <c r="E111" s="789">
        <f t="shared" si="6"/>
        <v>297201.95057142858</v>
      </c>
      <c r="F111" s="789">
        <f t="shared" si="0"/>
        <v>7132846.8137142807</v>
      </c>
      <c r="G111" s="736">
        <f t="shared" si="5"/>
        <v>7281447.7889999952</v>
      </c>
      <c r="H111" s="794">
        <f>+J95*G111+E111</f>
        <v>1349399.0617994238</v>
      </c>
      <c r="I111" s="795">
        <f>+J96*G111+E111</f>
        <v>1349399.0617994238</v>
      </c>
      <c r="J111" s="792">
        <f t="shared" si="7"/>
        <v>0</v>
      </c>
      <c r="K111" s="792"/>
      <c r="L111" s="812">
        <v>1408145.5058295655</v>
      </c>
      <c r="M111" s="792">
        <f t="shared" si="1"/>
        <v>-58746.444030141691</v>
      </c>
      <c r="N111" s="812">
        <v>1408145.5058295655</v>
      </c>
      <c r="O111" s="792">
        <f t="shared" si="2"/>
        <v>-58746.444030141691</v>
      </c>
      <c r="P111" s="792">
        <f t="shared" si="3"/>
        <v>0</v>
      </c>
    </row>
    <row r="112" spans="2:16">
      <c r="C112" s="788">
        <f>IF(D94="","-",+C111+1)</f>
        <v>2024</v>
      </c>
      <c r="D112" s="736">
        <f t="shared" si="4"/>
        <v>7132846.8137142807</v>
      </c>
      <c r="E112" s="789">
        <f t="shared" si="6"/>
        <v>297201.95057142858</v>
      </c>
      <c r="F112" s="789">
        <f t="shared" si="0"/>
        <v>6835644.8631428517</v>
      </c>
      <c r="G112" s="736">
        <f t="shared" si="5"/>
        <v>6984245.8384285662</v>
      </c>
      <c r="H112" s="794">
        <f>+J95*G112+E112</f>
        <v>1306452.240932975</v>
      </c>
      <c r="I112" s="795">
        <f>+J96*G112+E112</f>
        <v>1306452.240932975</v>
      </c>
      <c r="J112" s="792">
        <f t="shared" si="7"/>
        <v>0</v>
      </c>
      <c r="K112" s="792"/>
      <c r="L112" s="812"/>
      <c r="M112" s="792">
        <f t="shared" si="1"/>
        <v>0</v>
      </c>
      <c r="N112" s="812"/>
      <c r="O112" s="792">
        <f t="shared" si="2"/>
        <v>0</v>
      </c>
      <c r="P112" s="792">
        <f t="shared" si="3"/>
        <v>0</v>
      </c>
    </row>
    <row r="113" spans="3:16">
      <c r="C113" s="788">
        <f>IF(D94="","-",+C112+1)</f>
        <v>2025</v>
      </c>
      <c r="D113" s="736">
        <f t="shared" si="4"/>
        <v>6835644.8631428517</v>
      </c>
      <c r="E113" s="789">
        <f t="shared" si="6"/>
        <v>297201.95057142858</v>
      </c>
      <c r="F113" s="789">
        <f t="shared" si="0"/>
        <v>6538442.9125714228</v>
      </c>
      <c r="G113" s="736">
        <f t="shared" si="5"/>
        <v>6687043.8878571372</v>
      </c>
      <c r="H113" s="794">
        <f>+J95*G113+E113</f>
        <v>1263505.4200665262</v>
      </c>
      <c r="I113" s="795">
        <f>+J96*G113+E113</f>
        <v>1263505.4200665262</v>
      </c>
      <c r="J113" s="792">
        <f t="shared" si="7"/>
        <v>0</v>
      </c>
      <c r="K113" s="792"/>
      <c r="L113" s="812"/>
      <c r="M113" s="792">
        <f t="shared" si="1"/>
        <v>0</v>
      </c>
      <c r="N113" s="812"/>
      <c r="O113" s="792">
        <f t="shared" si="2"/>
        <v>0</v>
      </c>
      <c r="P113" s="792">
        <f t="shared" si="3"/>
        <v>0</v>
      </c>
    </row>
    <row r="114" spans="3:16">
      <c r="C114" s="788">
        <f>IF(D94="","-",+C113+1)</f>
        <v>2026</v>
      </c>
      <c r="D114" s="736">
        <f t="shared" si="4"/>
        <v>6538442.9125714228</v>
      </c>
      <c r="E114" s="789">
        <f t="shared" si="6"/>
        <v>297201.95057142858</v>
      </c>
      <c r="F114" s="789">
        <f t="shared" si="0"/>
        <v>6241240.9619999938</v>
      </c>
      <c r="G114" s="736">
        <f t="shared" si="5"/>
        <v>6389841.9372857083</v>
      </c>
      <c r="H114" s="794">
        <f>+J95*G114+E114</f>
        <v>1220558.5992000771</v>
      </c>
      <c r="I114" s="795">
        <f>+J96*G114+E114</f>
        <v>1220558.5992000771</v>
      </c>
      <c r="J114" s="792">
        <f t="shared" si="7"/>
        <v>0</v>
      </c>
      <c r="K114" s="792"/>
      <c r="L114" s="812"/>
      <c r="M114" s="792">
        <f t="shared" si="1"/>
        <v>0</v>
      </c>
      <c r="N114" s="812"/>
      <c r="O114" s="792">
        <f t="shared" si="2"/>
        <v>0</v>
      </c>
      <c r="P114" s="792">
        <f t="shared" si="3"/>
        <v>0</v>
      </c>
    </row>
    <row r="115" spans="3:16">
      <c r="C115" s="788">
        <f>IF(D94="","-",+C114+1)</f>
        <v>2027</v>
      </c>
      <c r="D115" s="736">
        <f t="shared" si="4"/>
        <v>6241240.9619999938</v>
      </c>
      <c r="E115" s="789">
        <f t="shared" si="6"/>
        <v>297201.95057142858</v>
      </c>
      <c r="F115" s="789">
        <f t="shared" si="0"/>
        <v>5944039.0114285648</v>
      </c>
      <c r="G115" s="736">
        <f t="shared" si="5"/>
        <v>6092639.9867142793</v>
      </c>
      <c r="H115" s="794">
        <f>+J95*G115+E115</f>
        <v>1177611.7783336283</v>
      </c>
      <c r="I115" s="795">
        <f>+J96*G115+E115</f>
        <v>1177611.7783336283</v>
      </c>
      <c r="J115" s="792">
        <f t="shared" si="7"/>
        <v>0</v>
      </c>
      <c r="K115" s="792"/>
      <c r="L115" s="812"/>
      <c r="M115" s="792">
        <f t="shared" si="1"/>
        <v>0</v>
      </c>
      <c r="N115" s="812"/>
      <c r="O115" s="792">
        <f t="shared" si="2"/>
        <v>0</v>
      </c>
      <c r="P115" s="792">
        <f t="shared" si="3"/>
        <v>0</v>
      </c>
    </row>
    <row r="116" spans="3:16">
      <c r="C116" s="788">
        <f>IF(D94="","-",+C115+1)</f>
        <v>2028</v>
      </c>
      <c r="D116" s="736">
        <f t="shared" si="4"/>
        <v>5944039.0114285648</v>
      </c>
      <c r="E116" s="789">
        <f t="shared" si="6"/>
        <v>297201.95057142858</v>
      </c>
      <c r="F116" s="789">
        <f t="shared" si="0"/>
        <v>5646837.0608571358</v>
      </c>
      <c r="G116" s="736">
        <f t="shared" si="5"/>
        <v>5795438.0361428503</v>
      </c>
      <c r="H116" s="794">
        <f>+J95*G116+E116</f>
        <v>1134664.9574671795</v>
      </c>
      <c r="I116" s="795">
        <f>+J96*G116+E116</f>
        <v>1134664.9574671795</v>
      </c>
      <c r="J116" s="792">
        <f t="shared" si="7"/>
        <v>0</v>
      </c>
      <c r="K116" s="792"/>
      <c r="L116" s="812"/>
      <c r="M116" s="792">
        <f t="shared" si="1"/>
        <v>0</v>
      </c>
      <c r="N116" s="812"/>
      <c r="O116" s="792">
        <f t="shared" si="2"/>
        <v>0</v>
      </c>
      <c r="P116" s="792">
        <f t="shared" si="3"/>
        <v>0</v>
      </c>
    </row>
    <row r="117" spans="3:16">
      <c r="C117" s="788">
        <f>IF(D94="","-",+C116+1)</f>
        <v>2029</v>
      </c>
      <c r="D117" s="736">
        <f t="shared" si="4"/>
        <v>5646837.0608571358</v>
      </c>
      <c r="E117" s="789">
        <f t="shared" si="6"/>
        <v>297201.95057142858</v>
      </c>
      <c r="F117" s="789">
        <f t="shared" si="0"/>
        <v>5349635.1102857068</v>
      </c>
      <c r="G117" s="736">
        <f t="shared" si="5"/>
        <v>5498236.0855714213</v>
      </c>
      <c r="H117" s="794">
        <f>+J95*G117+E117</f>
        <v>1091718.1366007305</v>
      </c>
      <c r="I117" s="795">
        <f>+J96*G117+E117</f>
        <v>1091718.1366007305</v>
      </c>
      <c r="J117" s="792">
        <f t="shared" si="7"/>
        <v>0</v>
      </c>
      <c r="K117" s="792"/>
      <c r="L117" s="812"/>
      <c r="M117" s="792">
        <f t="shared" si="1"/>
        <v>0</v>
      </c>
      <c r="N117" s="812"/>
      <c r="O117" s="792">
        <f t="shared" si="2"/>
        <v>0</v>
      </c>
      <c r="P117" s="792">
        <f t="shared" si="3"/>
        <v>0</v>
      </c>
    </row>
    <row r="118" spans="3:16">
      <c r="C118" s="788">
        <f>IF(D94="","-",+C117+1)</f>
        <v>2030</v>
      </c>
      <c r="D118" s="736">
        <f t="shared" si="4"/>
        <v>5349635.1102857068</v>
      </c>
      <c r="E118" s="789">
        <f t="shared" si="6"/>
        <v>297201.95057142858</v>
      </c>
      <c r="F118" s="789">
        <f t="shared" si="0"/>
        <v>5052433.1597142778</v>
      </c>
      <c r="G118" s="736">
        <f t="shared" si="5"/>
        <v>5201034.1349999923</v>
      </c>
      <c r="H118" s="794">
        <f>+J95*G118+E118</f>
        <v>1048771.3157342817</v>
      </c>
      <c r="I118" s="795">
        <f>+J96*G118+E118</f>
        <v>1048771.3157342817</v>
      </c>
      <c r="J118" s="792">
        <f t="shared" si="7"/>
        <v>0</v>
      </c>
      <c r="K118" s="792"/>
      <c r="L118" s="812"/>
      <c r="M118" s="792">
        <f t="shared" si="1"/>
        <v>0</v>
      </c>
      <c r="N118" s="812"/>
      <c r="O118" s="792">
        <f t="shared" si="2"/>
        <v>0</v>
      </c>
      <c r="P118" s="792">
        <f t="shared" si="3"/>
        <v>0</v>
      </c>
    </row>
    <row r="119" spans="3:16">
      <c r="C119" s="788">
        <f>IF(D94="","-",+C118+1)</f>
        <v>2031</v>
      </c>
      <c r="D119" s="736">
        <f t="shared" si="4"/>
        <v>5052433.1597142778</v>
      </c>
      <c r="E119" s="789">
        <f t="shared" si="6"/>
        <v>297201.95057142858</v>
      </c>
      <c r="F119" s="789">
        <f t="shared" si="0"/>
        <v>4755231.2091428488</v>
      </c>
      <c r="G119" s="736">
        <f t="shared" si="5"/>
        <v>4903832.1844285633</v>
      </c>
      <c r="H119" s="794">
        <f>+J95*G119+E119</f>
        <v>1005824.4948678329</v>
      </c>
      <c r="I119" s="795">
        <f>+J96*G119+E119</f>
        <v>1005824.4948678329</v>
      </c>
      <c r="J119" s="792">
        <f t="shared" si="7"/>
        <v>0</v>
      </c>
      <c r="K119" s="792"/>
      <c r="L119" s="812"/>
      <c r="M119" s="792">
        <f t="shared" si="1"/>
        <v>0</v>
      </c>
      <c r="N119" s="812"/>
      <c r="O119" s="792">
        <f t="shared" si="2"/>
        <v>0</v>
      </c>
      <c r="P119" s="792">
        <f t="shared" si="3"/>
        <v>0</v>
      </c>
    </row>
    <row r="120" spans="3:16">
      <c r="C120" s="788">
        <f>IF(D94="","-",+C119+1)</f>
        <v>2032</v>
      </c>
      <c r="D120" s="736">
        <f t="shared" si="4"/>
        <v>4755231.2091428488</v>
      </c>
      <c r="E120" s="789">
        <f t="shared" si="6"/>
        <v>297201.95057142858</v>
      </c>
      <c r="F120" s="789">
        <f t="shared" si="0"/>
        <v>4458029.2585714199</v>
      </c>
      <c r="G120" s="736">
        <f t="shared" si="5"/>
        <v>4606630.2338571344</v>
      </c>
      <c r="H120" s="794">
        <f>+J95*G120+E120</f>
        <v>962877.67400138383</v>
      </c>
      <c r="I120" s="795">
        <f>+J96*G120+E120</f>
        <v>962877.67400138383</v>
      </c>
      <c r="J120" s="792">
        <f t="shared" si="7"/>
        <v>0</v>
      </c>
      <c r="K120" s="792"/>
      <c r="L120" s="812"/>
      <c r="M120" s="792">
        <f t="shared" si="1"/>
        <v>0</v>
      </c>
      <c r="N120" s="812"/>
      <c r="O120" s="792">
        <f t="shared" si="2"/>
        <v>0</v>
      </c>
      <c r="P120" s="792">
        <f t="shared" si="3"/>
        <v>0</v>
      </c>
    </row>
    <row r="121" spans="3:16">
      <c r="C121" s="788">
        <f>IF(D94="","-",+C120+1)</f>
        <v>2033</v>
      </c>
      <c r="D121" s="736">
        <f t="shared" si="4"/>
        <v>4458029.2585714199</v>
      </c>
      <c r="E121" s="789">
        <f t="shared" si="6"/>
        <v>297201.95057142858</v>
      </c>
      <c r="F121" s="789">
        <f t="shared" si="0"/>
        <v>4160827.3079999913</v>
      </c>
      <c r="G121" s="736">
        <f t="shared" si="5"/>
        <v>4309428.2832857054</v>
      </c>
      <c r="H121" s="794">
        <f>+J95*G121+E121</f>
        <v>919930.85313493502</v>
      </c>
      <c r="I121" s="795">
        <f>+J96*G121+E121</f>
        <v>919930.85313493502</v>
      </c>
      <c r="J121" s="792">
        <f t="shared" si="7"/>
        <v>0</v>
      </c>
      <c r="K121" s="792"/>
      <c r="L121" s="812"/>
      <c r="M121" s="792">
        <f t="shared" si="1"/>
        <v>0</v>
      </c>
      <c r="N121" s="812"/>
      <c r="O121" s="792">
        <f t="shared" si="2"/>
        <v>0</v>
      </c>
      <c r="P121" s="792">
        <f t="shared" si="3"/>
        <v>0</v>
      </c>
    </row>
    <row r="122" spans="3:16">
      <c r="C122" s="788">
        <f>IF(D94="","-",+C121+1)</f>
        <v>2034</v>
      </c>
      <c r="D122" s="736">
        <f t="shared" si="4"/>
        <v>4160827.3079999913</v>
      </c>
      <c r="E122" s="789">
        <f t="shared" si="6"/>
        <v>297201.95057142858</v>
      </c>
      <c r="F122" s="789">
        <f t="shared" si="0"/>
        <v>3863625.3574285628</v>
      </c>
      <c r="G122" s="736">
        <f t="shared" si="5"/>
        <v>4012226.3327142773</v>
      </c>
      <c r="H122" s="794">
        <f>+J95*G122+E122</f>
        <v>876984.03226848622</v>
      </c>
      <c r="I122" s="795">
        <f>+J96*G122+E122</f>
        <v>876984.03226848622</v>
      </c>
      <c r="J122" s="792">
        <f t="shared" si="7"/>
        <v>0</v>
      </c>
      <c r="K122" s="792"/>
      <c r="L122" s="812"/>
      <c r="M122" s="792">
        <f t="shared" si="1"/>
        <v>0</v>
      </c>
      <c r="N122" s="812"/>
      <c r="O122" s="792">
        <f t="shared" si="2"/>
        <v>0</v>
      </c>
      <c r="P122" s="792">
        <f t="shared" si="3"/>
        <v>0</v>
      </c>
    </row>
    <row r="123" spans="3:16">
      <c r="C123" s="788">
        <f>IF(D94="","-",+C122+1)</f>
        <v>2035</v>
      </c>
      <c r="D123" s="736">
        <f t="shared" si="4"/>
        <v>3863625.3574285628</v>
      </c>
      <c r="E123" s="789">
        <f t="shared" si="6"/>
        <v>297201.95057142858</v>
      </c>
      <c r="F123" s="789">
        <f t="shared" si="0"/>
        <v>3566423.4068571343</v>
      </c>
      <c r="G123" s="736">
        <f t="shared" si="5"/>
        <v>3715024.3821428483</v>
      </c>
      <c r="H123" s="794">
        <f>+J95*G123+E123</f>
        <v>834037.21140203741</v>
      </c>
      <c r="I123" s="795">
        <f>+J96*G123+E123</f>
        <v>834037.21140203741</v>
      </c>
      <c r="J123" s="792">
        <f t="shared" si="7"/>
        <v>0</v>
      </c>
      <c r="K123" s="792"/>
      <c r="L123" s="812"/>
      <c r="M123" s="792">
        <f t="shared" si="1"/>
        <v>0</v>
      </c>
      <c r="N123" s="812"/>
      <c r="O123" s="792">
        <f t="shared" si="2"/>
        <v>0</v>
      </c>
      <c r="P123" s="792">
        <f t="shared" si="3"/>
        <v>0</v>
      </c>
    </row>
    <row r="124" spans="3:16">
      <c r="C124" s="788">
        <f>IF(D94="","-",+C123+1)</f>
        <v>2036</v>
      </c>
      <c r="D124" s="736">
        <f t="shared" si="4"/>
        <v>3566423.4068571343</v>
      </c>
      <c r="E124" s="789">
        <f t="shared" si="6"/>
        <v>297201.95057142858</v>
      </c>
      <c r="F124" s="789">
        <f t="shared" si="0"/>
        <v>3269221.4562857058</v>
      </c>
      <c r="G124" s="736">
        <f t="shared" si="5"/>
        <v>3417822.4315714203</v>
      </c>
      <c r="H124" s="794">
        <f>+J95*G124+E124</f>
        <v>791090.39053558873</v>
      </c>
      <c r="I124" s="795">
        <f>+J96*G124+E124</f>
        <v>791090.39053558873</v>
      </c>
      <c r="J124" s="792">
        <f t="shared" si="7"/>
        <v>0</v>
      </c>
      <c r="K124" s="792"/>
      <c r="L124" s="812"/>
      <c r="M124" s="792">
        <f t="shared" si="1"/>
        <v>0</v>
      </c>
      <c r="N124" s="812"/>
      <c r="O124" s="792">
        <f t="shared" si="2"/>
        <v>0</v>
      </c>
      <c r="P124" s="792">
        <f t="shared" si="3"/>
        <v>0</v>
      </c>
    </row>
    <row r="125" spans="3:16">
      <c r="C125" s="788">
        <f>IF(D94="","-",+C124+1)</f>
        <v>2037</v>
      </c>
      <c r="D125" s="736">
        <f t="shared" si="4"/>
        <v>3269221.4562857058</v>
      </c>
      <c r="E125" s="789">
        <f t="shared" si="6"/>
        <v>297201.95057142858</v>
      </c>
      <c r="F125" s="789">
        <f t="shared" si="0"/>
        <v>2972019.5057142773</v>
      </c>
      <c r="G125" s="736">
        <f t="shared" si="5"/>
        <v>3120620.4809999913</v>
      </c>
      <c r="H125" s="794">
        <f>+J95*G125+E125</f>
        <v>748143.5696691398</v>
      </c>
      <c r="I125" s="795">
        <f>+J96*G125+E125</f>
        <v>748143.5696691398</v>
      </c>
      <c r="J125" s="792">
        <f t="shared" si="7"/>
        <v>0</v>
      </c>
      <c r="K125" s="792"/>
      <c r="L125" s="812"/>
      <c r="M125" s="792">
        <f t="shared" si="1"/>
        <v>0</v>
      </c>
      <c r="N125" s="812"/>
      <c r="O125" s="792">
        <f t="shared" si="2"/>
        <v>0</v>
      </c>
      <c r="P125" s="792">
        <f t="shared" si="3"/>
        <v>0</v>
      </c>
    </row>
    <row r="126" spans="3:16">
      <c r="C126" s="788">
        <f>IF(D94="","-",+C125+1)</f>
        <v>2038</v>
      </c>
      <c r="D126" s="736">
        <f t="shared" si="4"/>
        <v>2972019.5057142773</v>
      </c>
      <c r="E126" s="789">
        <f t="shared" si="6"/>
        <v>297201.95057142858</v>
      </c>
      <c r="F126" s="789">
        <f t="shared" si="0"/>
        <v>2674817.5551428488</v>
      </c>
      <c r="G126" s="736">
        <f t="shared" si="5"/>
        <v>2823418.5304285632</v>
      </c>
      <c r="H126" s="794">
        <f>+J95*G126+E126</f>
        <v>705196.74880269112</v>
      </c>
      <c r="I126" s="795">
        <f>+J96*G126+E126</f>
        <v>705196.74880269112</v>
      </c>
      <c r="J126" s="792">
        <f t="shared" si="7"/>
        <v>0</v>
      </c>
      <c r="K126" s="792"/>
      <c r="L126" s="812"/>
      <c r="M126" s="792">
        <f t="shared" si="1"/>
        <v>0</v>
      </c>
      <c r="N126" s="812"/>
      <c r="O126" s="792">
        <f t="shared" si="2"/>
        <v>0</v>
      </c>
      <c r="P126" s="792">
        <f t="shared" si="3"/>
        <v>0</v>
      </c>
    </row>
    <row r="127" spans="3:16">
      <c r="C127" s="788">
        <f>IF(D94="","-",+C126+1)</f>
        <v>2039</v>
      </c>
      <c r="D127" s="736">
        <f t="shared" si="4"/>
        <v>2674817.5551428488</v>
      </c>
      <c r="E127" s="789">
        <f t="shared" si="6"/>
        <v>297201.95057142858</v>
      </c>
      <c r="F127" s="789">
        <f t="shared" si="0"/>
        <v>2377615.6045714202</v>
      </c>
      <c r="G127" s="736">
        <f t="shared" si="5"/>
        <v>2526216.5798571343</v>
      </c>
      <c r="H127" s="794">
        <f>+J95*G127+E127</f>
        <v>662249.92793624219</v>
      </c>
      <c r="I127" s="795">
        <f>+J96*G127+E127</f>
        <v>662249.92793624219</v>
      </c>
      <c r="J127" s="792">
        <f t="shared" si="7"/>
        <v>0</v>
      </c>
      <c r="K127" s="792"/>
      <c r="L127" s="812"/>
      <c r="M127" s="792">
        <f t="shared" si="1"/>
        <v>0</v>
      </c>
      <c r="N127" s="812"/>
      <c r="O127" s="792">
        <f t="shared" si="2"/>
        <v>0</v>
      </c>
      <c r="P127" s="792">
        <f t="shared" si="3"/>
        <v>0</v>
      </c>
    </row>
    <row r="128" spans="3:16">
      <c r="C128" s="788">
        <f>IF(D94="","-",+C127+1)</f>
        <v>2040</v>
      </c>
      <c r="D128" s="736">
        <f t="shared" si="4"/>
        <v>2377615.6045714202</v>
      </c>
      <c r="E128" s="789">
        <f t="shared" si="6"/>
        <v>297201.95057142858</v>
      </c>
      <c r="F128" s="789">
        <f t="shared" si="0"/>
        <v>2080413.6539999917</v>
      </c>
      <c r="G128" s="736">
        <f t="shared" si="5"/>
        <v>2229014.6292857062</v>
      </c>
      <c r="H128" s="794">
        <f>+J95*G128+E128</f>
        <v>619303.10706979351</v>
      </c>
      <c r="I128" s="795">
        <f>+J96*G128+E128</f>
        <v>619303.10706979351</v>
      </c>
      <c r="J128" s="792">
        <f t="shared" si="7"/>
        <v>0</v>
      </c>
      <c r="K128" s="792"/>
      <c r="L128" s="812"/>
      <c r="M128" s="792">
        <f t="shared" si="1"/>
        <v>0</v>
      </c>
      <c r="N128" s="812"/>
      <c r="O128" s="792">
        <f t="shared" si="2"/>
        <v>0</v>
      </c>
      <c r="P128" s="792">
        <f t="shared" si="3"/>
        <v>0</v>
      </c>
    </row>
    <row r="129" spans="3:16">
      <c r="C129" s="788">
        <f>IF(D94="","-",+C128+1)</f>
        <v>2041</v>
      </c>
      <c r="D129" s="736">
        <f t="shared" si="4"/>
        <v>2080413.6539999917</v>
      </c>
      <c r="E129" s="789">
        <f t="shared" si="6"/>
        <v>297201.95057142858</v>
      </c>
      <c r="F129" s="789">
        <f t="shared" si="0"/>
        <v>1783211.7034285632</v>
      </c>
      <c r="G129" s="736">
        <f t="shared" si="5"/>
        <v>1931812.6787142775</v>
      </c>
      <c r="H129" s="794">
        <f>+J95*G129+E129</f>
        <v>576356.28620334459</v>
      </c>
      <c r="I129" s="795">
        <f>+J96*G129+E129</f>
        <v>576356.28620334459</v>
      </c>
      <c r="J129" s="792">
        <f t="shared" si="7"/>
        <v>0</v>
      </c>
      <c r="K129" s="792"/>
      <c r="L129" s="812"/>
      <c r="M129" s="792">
        <f t="shared" si="1"/>
        <v>0</v>
      </c>
      <c r="N129" s="812"/>
      <c r="O129" s="792">
        <f t="shared" si="2"/>
        <v>0</v>
      </c>
      <c r="P129" s="792">
        <f t="shared" si="3"/>
        <v>0</v>
      </c>
    </row>
    <row r="130" spans="3:16">
      <c r="C130" s="788">
        <f>IF(D94="","-",+C129+1)</f>
        <v>2042</v>
      </c>
      <c r="D130" s="736">
        <f t="shared" si="4"/>
        <v>1783211.7034285632</v>
      </c>
      <c r="E130" s="789">
        <f t="shared" si="6"/>
        <v>297201.95057142858</v>
      </c>
      <c r="F130" s="789">
        <f t="shared" si="0"/>
        <v>1486009.7528571347</v>
      </c>
      <c r="G130" s="736">
        <f t="shared" si="5"/>
        <v>1634610.7281428489</v>
      </c>
      <c r="H130" s="794">
        <f>+J95*G130+E130</f>
        <v>533409.4653368959</v>
      </c>
      <c r="I130" s="795">
        <f>+J96*G130+E130</f>
        <v>533409.4653368959</v>
      </c>
      <c r="J130" s="792">
        <f t="shared" si="7"/>
        <v>0</v>
      </c>
      <c r="K130" s="792"/>
      <c r="L130" s="812"/>
      <c r="M130" s="792">
        <f t="shared" si="1"/>
        <v>0</v>
      </c>
      <c r="N130" s="812"/>
      <c r="O130" s="792">
        <f t="shared" si="2"/>
        <v>0</v>
      </c>
      <c r="P130" s="792">
        <f t="shared" si="3"/>
        <v>0</v>
      </c>
    </row>
    <row r="131" spans="3:16">
      <c r="C131" s="788">
        <f>IF(D94="","-",+C130+1)</f>
        <v>2043</v>
      </c>
      <c r="D131" s="736">
        <f t="shared" si="4"/>
        <v>1486009.7528571347</v>
      </c>
      <c r="E131" s="789">
        <f t="shared" si="6"/>
        <v>297201.95057142858</v>
      </c>
      <c r="F131" s="789">
        <f t="shared" si="0"/>
        <v>1188807.8022857062</v>
      </c>
      <c r="G131" s="736">
        <f t="shared" si="5"/>
        <v>1337408.7775714204</v>
      </c>
      <c r="H131" s="794">
        <f>+J95*G131+E131</f>
        <v>490462.64447044709</v>
      </c>
      <c r="I131" s="795">
        <f>+J96*G131+E131</f>
        <v>490462.64447044709</v>
      </c>
      <c r="J131" s="792">
        <f t="shared" si="7"/>
        <v>0</v>
      </c>
      <c r="K131" s="792"/>
      <c r="L131" s="812"/>
      <c r="M131" s="792">
        <f t="shared" si="1"/>
        <v>0</v>
      </c>
      <c r="N131" s="812"/>
      <c r="O131" s="792">
        <f t="shared" si="2"/>
        <v>0</v>
      </c>
      <c r="P131" s="792">
        <f t="shared" si="3"/>
        <v>0</v>
      </c>
    </row>
    <row r="132" spans="3:16">
      <c r="C132" s="788">
        <f>IF(D94="","-",+C131+1)</f>
        <v>2044</v>
      </c>
      <c r="D132" s="736">
        <f t="shared" si="4"/>
        <v>1188807.8022857062</v>
      </c>
      <c r="E132" s="789">
        <f t="shared" si="6"/>
        <v>297201.95057142858</v>
      </c>
      <c r="F132" s="789">
        <f t="shared" si="0"/>
        <v>891605.85171427764</v>
      </c>
      <c r="G132" s="736">
        <f t="shared" si="5"/>
        <v>1040206.8269999919</v>
      </c>
      <c r="H132" s="794">
        <f>+J95*G132+E132</f>
        <v>447515.82360399829</v>
      </c>
      <c r="I132" s="795">
        <f>+J96*G132+E132</f>
        <v>447515.82360399829</v>
      </c>
      <c r="J132" s="792">
        <f t="shared" si="7"/>
        <v>0</v>
      </c>
      <c r="K132" s="792"/>
      <c r="L132" s="812"/>
      <c r="M132" s="792">
        <f t="shared" si="1"/>
        <v>0</v>
      </c>
      <c r="N132" s="812"/>
      <c r="O132" s="792">
        <f t="shared" si="2"/>
        <v>0</v>
      </c>
      <c r="P132" s="792">
        <f t="shared" si="3"/>
        <v>0</v>
      </c>
    </row>
    <row r="133" spans="3:16">
      <c r="C133" s="788">
        <f>IF(D94="","-",+C132+1)</f>
        <v>2045</v>
      </c>
      <c r="D133" s="736">
        <f t="shared" si="4"/>
        <v>891605.85171427764</v>
      </c>
      <c r="E133" s="789">
        <f t="shared" si="6"/>
        <v>297201.95057142858</v>
      </c>
      <c r="F133" s="789">
        <f t="shared" si="0"/>
        <v>594403.90114284912</v>
      </c>
      <c r="G133" s="736">
        <f t="shared" si="5"/>
        <v>743004.87642856338</v>
      </c>
      <c r="H133" s="794">
        <f>+J95*G133+E133</f>
        <v>404569.00273754942</v>
      </c>
      <c r="I133" s="795">
        <f>+J96*G133+E133</f>
        <v>404569.00273754942</v>
      </c>
      <c r="J133" s="792">
        <f t="shared" si="7"/>
        <v>0</v>
      </c>
      <c r="K133" s="792"/>
      <c r="L133" s="812"/>
      <c r="M133" s="792">
        <f t="shared" si="1"/>
        <v>0</v>
      </c>
      <c r="N133" s="812"/>
      <c r="O133" s="792">
        <f t="shared" si="2"/>
        <v>0</v>
      </c>
      <c r="P133" s="792">
        <f t="shared" si="3"/>
        <v>0</v>
      </c>
    </row>
    <row r="134" spans="3:16">
      <c r="C134" s="788">
        <f>IF(D94="","-",+C133+1)</f>
        <v>2046</v>
      </c>
      <c r="D134" s="736">
        <f t="shared" si="4"/>
        <v>594403.90114284912</v>
      </c>
      <c r="E134" s="789">
        <f t="shared" si="6"/>
        <v>297201.95057142858</v>
      </c>
      <c r="F134" s="789">
        <f t="shared" si="0"/>
        <v>297201.95057142054</v>
      </c>
      <c r="G134" s="736">
        <f t="shared" si="5"/>
        <v>445802.92585713486</v>
      </c>
      <c r="H134" s="794">
        <f>+J95*G134+E134</f>
        <v>361622.18187110062</v>
      </c>
      <c r="I134" s="795">
        <f>+J96*G134+E134</f>
        <v>361622.18187110062</v>
      </c>
      <c r="J134" s="792">
        <f t="shared" si="7"/>
        <v>0</v>
      </c>
      <c r="K134" s="792"/>
      <c r="L134" s="812"/>
      <c r="M134" s="792">
        <f t="shared" si="1"/>
        <v>0</v>
      </c>
      <c r="N134" s="812"/>
      <c r="O134" s="792">
        <f t="shared" si="2"/>
        <v>0</v>
      </c>
      <c r="P134" s="792">
        <f t="shared" si="3"/>
        <v>0</v>
      </c>
    </row>
    <row r="135" spans="3:16">
      <c r="C135" s="788">
        <f>IF(D94="","-",+C134+1)</f>
        <v>2047</v>
      </c>
      <c r="D135" s="736">
        <f t="shared" si="4"/>
        <v>297201.95057142054</v>
      </c>
      <c r="E135" s="789">
        <f t="shared" si="6"/>
        <v>297201.95057142054</v>
      </c>
      <c r="F135" s="789">
        <f t="shared" si="0"/>
        <v>0</v>
      </c>
      <c r="G135" s="736">
        <f t="shared" si="5"/>
        <v>148600.97528571027</v>
      </c>
      <c r="H135" s="794">
        <f>+J95*G135+E135</f>
        <v>318675.36100464436</v>
      </c>
      <c r="I135" s="795">
        <f>+J96*G135+E135</f>
        <v>318675.36100464436</v>
      </c>
      <c r="J135" s="792">
        <f t="shared" si="7"/>
        <v>0</v>
      </c>
      <c r="K135" s="792"/>
      <c r="L135" s="812"/>
      <c r="M135" s="792">
        <f t="shared" si="1"/>
        <v>0</v>
      </c>
      <c r="N135" s="812"/>
      <c r="O135" s="792">
        <f t="shared" si="2"/>
        <v>0</v>
      </c>
      <c r="P135" s="792">
        <f t="shared" si="3"/>
        <v>0</v>
      </c>
    </row>
    <row r="136" spans="3:16">
      <c r="C136" s="788">
        <f>IF(D94="","-",+C135+1)</f>
        <v>2048</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c r="C137" s="788">
        <f>IF(D94="","-",+C136+1)</f>
        <v>2049</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c r="C138" s="788">
        <f>IF(D94="","-",+C137+1)</f>
        <v>2050</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f>IF(D94="","-",+C138+1)</f>
        <v>2051</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f>IF(D94="","-",+C139+1)</f>
        <v>2052</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f>IF(D94="","-",+C140+1)</f>
        <v>2053</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f>IF(D94="","-",+C141+1)</f>
        <v>2054</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f>IF(D94="","-",+C142+1)</f>
        <v>2055</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f>IF(D94="","-",+C143+1)</f>
        <v>2056</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f>IF(D94="","-",+C144+1)</f>
        <v>2057</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f>IF(D94="","-",+C145+1)</f>
        <v>2058</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f>IF(D94="","-",+C146+1)</f>
        <v>2059</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f>IF(D94="","-",+C147+1)</f>
        <v>2060</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f>IF(D94="","-",+C148+1)</f>
        <v>2061</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f>IF(D94="","-",+C149+1)</f>
        <v>2062</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f>IF(D94="","-",+C150+1)</f>
        <v>2063</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f>IF(D94="","-",+C151+1)</f>
        <v>2064</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f>IF(D94="","-",+C152+1)</f>
        <v>2065</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f>IF(D94="","-",+C153+1)</f>
        <v>2066</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f>IF(D94="","-",+C154+1)</f>
        <v>2067</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f>IF(D94="","-",+C155+1)</f>
        <v>2068</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f>IF(D94="","-",+C156+1)</f>
        <v>2069</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f>IF(D94="","-",+C157+1)</f>
        <v>2070</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f>IF(D94="","-",+C158+1)</f>
        <v>2071</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83</v>
      </c>
      <c r="D160" s="730"/>
      <c r="E160" s="730">
        <f>SUM(E100:E159)</f>
        <v>10402068.269999998</v>
      </c>
      <c r="F160" s="730"/>
      <c r="G160" s="730"/>
      <c r="H160" s="730">
        <f>SUM(H100:H159)</f>
        <v>38210134.781025551</v>
      </c>
      <c r="I160" s="730">
        <f>SUM(I100:I159)</f>
        <v>38210134.781025551</v>
      </c>
      <c r="J160" s="730">
        <f>SUM(J100:J159)</f>
        <v>0</v>
      </c>
      <c r="K160" s="730"/>
      <c r="L160" s="730"/>
      <c r="M160" s="730"/>
      <c r="N160" s="730"/>
      <c r="O160" s="730"/>
    </row>
    <row r="161" spans="1:17">
      <c r="D161" s="538"/>
      <c r="E161" s="313"/>
      <c r="F161" s="313"/>
      <c r="G161" s="313"/>
      <c r="H161" s="313"/>
      <c r="I161" s="708"/>
      <c r="J161" s="708"/>
      <c r="K161" s="730"/>
      <c r="L161" s="708"/>
      <c r="M161" s="708"/>
      <c r="N161" s="708"/>
      <c r="O161" s="708"/>
    </row>
    <row r="162" spans="1:17">
      <c r="C162" s="313" t="s">
        <v>13</v>
      </c>
      <c r="D162" s="538"/>
      <c r="E162" s="313"/>
      <c r="F162" s="313"/>
      <c r="G162" s="313"/>
      <c r="H162" s="313"/>
      <c r="I162" s="708"/>
      <c r="J162" s="708"/>
      <c r="K162" s="730"/>
      <c r="L162" s="708"/>
      <c r="M162" s="708"/>
      <c r="N162" s="708"/>
      <c r="O162" s="708"/>
    </row>
    <row r="163" spans="1:17">
      <c r="C163" s="313"/>
      <c r="D163" s="538"/>
      <c r="E163" s="313"/>
      <c r="F163" s="313"/>
      <c r="G163" s="313"/>
      <c r="H163" s="313"/>
      <c r="I163" s="708"/>
      <c r="J163" s="708"/>
      <c r="K163" s="730"/>
      <c r="L163" s="708"/>
      <c r="M163" s="708"/>
      <c r="N163" s="708"/>
      <c r="O163" s="708"/>
    </row>
    <row r="164" spans="1:17">
      <c r="C164" s="749" t="s">
        <v>14</v>
      </c>
      <c r="D164" s="736"/>
      <c r="E164" s="736"/>
      <c r="F164" s="736"/>
      <c r="G164" s="736"/>
      <c r="H164" s="730"/>
      <c r="I164" s="730"/>
      <c r="J164" s="804"/>
      <c r="K164" s="804"/>
      <c r="L164" s="804"/>
      <c r="M164" s="804"/>
      <c r="N164" s="804"/>
      <c r="O164" s="804"/>
    </row>
    <row r="165" spans="1:17">
      <c r="C165" s="735" t="s">
        <v>263</v>
      </c>
      <c r="D165" s="736"/>
      <c r="E165" s="736"/>
      <c r="F165" s="736"/>
      <c r="G165" s="736"/>
      <c r="H165" s="730"/>
      <c r="I165" s="730"/>
      <c r="J165" s="804"/>
      <c r="K165" s="804"/>
      <c r="L165" s="804"/>
      <c r="M165" s="804"/>
      <c r="N165" s="804"/>
      <c r="O165" s="804"/>
    </row>
    <row r="166" spans="1:17">
      <c r="C166" s="735" t="s">
        <v>84</v>
      </c>
      <c r="D166" s="736"/>
      <c r="E166" s="736"/>
      <c r="F166" s="736"/>
      <c r="G166" s="736"/>
      <c r="H166" s="730"/>
      <c r="I166" s="730"/>
      <c r="J166" s="804"/>
      <c r="K166" s="804"/>
      <c r="L166" s="804"/>
      <c r="M166" s="804"/>
      <c r="N166" s="804"/>
      <c r="O166" s="804"/>
    </row>
    <row r="168" spans="1:17" ht="20.25">
      <c r="A168" s="737" t="str">
        <f>""&amp;A93&amp;" Worksheet K -  ATRR TRUE-UP Calculation for PJM Projects Charged to Benefiting Zones"</f>
        <v xml:space="preserve"> Worksheet K -  ATRR TRUE-UP Calculation for PJM Projects Charged to Benefiting Zones</v>
      </c>
      <c r="B168" s="347"/>
      <c r="C168" s="725"/>
      <c r="D168" s="538"/>
      <c r="E168" s="313"/>
      <c r="F168" s="707"/>
      <c r="G168" s="707"/>
      <c r="H168" s="313"/>
      <c r="I168" s="708"/>
      <c r="L168" s="564"/>
      <c r="M168" s="564"/>
      <c r="N168" s="564"/>
      <c r="O168" s="653" t="str">
        <f>"Page "&amp;SUM(Q$8:Q168)&amp;" of "</f>
        <v xml:space="preserve">Page 3 of </v>
      </c>
      <c r="P168" s="654">
        <f>COUNT(Q$8:Q$57703)</f>
        <v>22</v>
      </c>
      <c r="Q168" s="655">
        <v>1</v>
      </c>
    </row>
    <row r="169" spans="1:17">
      <c r="B169" s="347"/>
      <c r="C169" s="313"/>
      <c r="D169" s="538"/>
      <c r="E169" s="313"/>
      <c r="F169" s="313"/>
      <c r="G169" s="313"/>
      <c r="H169" s="313"/>
      <c r="I169" s="708"/>
      <c r="J169" s="313"/>
      <c r="K169" s="426"/>
    </row>
    <row r="170" spans="1:17" ht="18">
      <c r="B170" s="657" t="s">
        <v>466</v>
      </c>
      <c r="C170" s="739" t="s">
        <v>85</v>
      </c>
      <c r="D170" s="538"/>
      <c r="E170" s="313"/>
      <c r="F170" s="313"/>
      <c r="G170" s="313"/>
      <c r="H170" s="313"/>
      <c r="I170" s="708"/>
      <c r="J170" s="708"/>
      <c r="K170" s="730"/>
      <c r="L170" s="708"/>
      <c r="M170" s="708"/>
      <c r="N170" s="708"/>
      <c r="O170" s="708"/>
    </row>
    <row r="171" spans="1:17" ht="18.75">
      <c r="B171" s="657"/>
      <c r="C171" s="656"/>
      <c r="D171" s="538"/>
      <c r="E171" s="313"/>
      <c r="F171" s="313"/>
      <c r="G171" s="313"/>
      <c r="H171" s="313"/>
      <c r="I171" s="708"/>
      <c r="J171" s="708"/>
      <c r="K171" s="730"/>
      <c r="L171" s="708"/>
      <c r="M171" s="708"/>
      <c r="N171" s="708"/>
      <c r="O171" s="708"/>
    </row>
    <row r="172" spans="1:17" ht="18.75">
      <c r="B172" s="657"/>
      <c r="C172" s="656" t="s">
        <v>86</v>
      </c>
      <c r="D172" s="538"/>
      <c r="E172" s="313"/>
      <c r="F172" s="313"/>
      <c r="G172" s="313"/>
      <c r="H172" s="313"/>
      <c r="I172" s="708"/>
      <c r="J172" s="708"/>
      <c r="K172" s="730"/>
      <c r="L172" s="708"/>
      <c r="M172" s="708"/>
      <c r="N172" s="708"/>
      <c r="O172" s="708"/>
    </row>
    <row r="173" spans="1:17" ht="15.75" thickBot="1">
      <c r="C173" s="239"/>
      <c r="D173" s="538"/>
      <c r="E173" s="313"/>
      <c r="F173" s="313"/>
      <c r="G173" s="313"/>
      <c r="H173" s="313"/>
      <c r="I173" s="708"/>
      <c r="J173" s="708"/>
      <c r="K173" s="730"/>
      <c r="L173" s="708"/>
      <c r="M173" s="708"/>
      <c r="N173" s="708"/>
      <c r="O173" s="708"/>
    </row>
    <row r="174" spans="1:17" ht="15.75">
      <c r="C174" s="659" t="s">
        <v>87</v>
      </c>
      <c r="D174" s="538"/>
      <c r="E174" s="313"/>
      <c r="F174" s="313"/>
      <c r="G174" s="313"/>
      <c r="H174" s="806"/>
      <c r="I174" s="313" t="s">
        <v>66</v>
      </c>
      <c r="J174" s="313"/>
      <c r="K174" s="426"/>
      <c r="L174" s="835">
        <f>+J180</f>
        <v>2023</v>
      </c>
      <c r="M174" s="816" t="s">
        <v>45</v>
      </c>
      <c r="N174" s="816" t="s">
        <v>46</v>
      </c>
      <c r="O174" s="817" t="s">
        <v>47</v>
      </c>
    </row>
    <row r="175" spans="1:17" ht="15.75">
      <c r="C175" s="659"/>
      <c r="D175" s="538"/>
      <c r="E175" s="313"/>
      <c r="F175" s="313"/>
      <c r="H175" s="313"/>
      <c r="I175" s="744"/>
      <c r="J175" s="744"/>
      <c r="K175" s="745"/>
      <c r="L175" s="836" t="s">
        <v>235</v>
      </c>
      <c r="M175" s="837">
        <f>VLOOKUP(J180,C187:P246,10)</f>
        <v>455127.19546763896</v>
      </c>
      <c r="N175" s="837">
        <f>VLOOKUP(J180,C187:P246,12)</f>
        <v>455127.19546763896</v>
      </c>
      <c r="O175" s="838">
        <f>+N175-M175</f>
        <v>0</v>
      </c>
    </row>
    <row r="176" spans="1:17" ht="12.95" customHeight="1">
      <c r="C176" s="749" t="s">
        <v>88</v>
      </c>
      <c r="D176" s="1537" t="s">
        <v>809</v>
      </c>
      <c r="E176" s="1537"/>
      <c r="F176" s="1537"/>
      <c r="G176" s="1537"/>
      <c r="H176" s="1537"/>
      <c r="I176" s="1537"/>
      <c r="J176" s="708"/>
      <c r="K176" s="730"/>
      <c r="L176" s="836" t="s">
        <v>236</v>
      </c>
      <c r="M176" s="839">
        <f>VLOOKUP(J180,C187:P246,6)</f>
        <v>436308.74995432468</v>
      </c>
      <c r="N176" s="839">
        <f>VLOOKUP(J180,C187:P246,7)</f>
        <v>436308.74995432468</v>
      </c>
      <c r="O176" s="840">
        <f>+N176-M176</f>
        <v>0</v>
      </c>
    </row>
    <row r="177" spans="2:16" ht="13.5" thickBot="1">
      <c r="C177" s="753"/>
      <c r="D177" s="754"/>
      <c r="E177" s="734"/>
      <c r="F177" s="734"/>
      <c r="G177" s="734"/>
      <c r="H177" s="755"/>
      <c r="I177" s="708"/>
      <c r="J177" s="708"/>
      <c r="K177" s="730"/>
      <c r="L177" s="772" t="s">
        <v>237</v>
      </c>
      <c r="M177" s="841">
        <f>+M176-M175</f>
        <v>-18818.445513314276</v>
      </c>
      <c r="N177" s="841">
        <f>+N176-N175</f>
        <v>-18818.445513314276</v>
      </c>
      <c r="O177" s="842">
        <f>+O176-O175</f>
        <v>0</v>
      </c>
    </row>
    <row r="178" spans="2:16" ht="13.5" thickBot="1">
      <c r="C178" s="756"/>
      <c r="D178" s="757"/>
      <c r="E178" s="755"/>
      <c r="F178" s="755"/>
      <c r="G178" s="755"/>
      <c r="H178" s="755"/>
      <c r="I178" s="755"/>
      <c r="J178" s="755"/>
      <c r="K178" s="758"/>
      <c r="L178" s="755"/>
      <c r="M178" s="755"/>
      <c r="N178" s="755"/>
      <c r="O178" s="755"/>
      <c r="P178" s="347"/>
    </row>
    <row r="179" spans="2:16" ht="13.5" thickBot="1">
      <c r="C179" s="759" t="s">
        <v>89</v>
      </c>
      <c r="D179" s="760"/>
      <c r="E179" s="760"/>
      <c r="F179" s="760"/>
      <c r="G179" s="760"/>
      <c r="H179" s="760"/>
      <c r="I179" s="760"/>
      <c r="J179" s="760"/>
      <c r="K179" s="762"/>
      <c r="P179" s="763"/>
    </row>
    <row r="180" spans="2:16" ht="15">
      <c r="C180" s="764" t="s">
        <v>67</v>
      </c>
      <c r="D180" s="808">
        <v>3473922.17</v>
      </c>
      <c r="E180" s="725" t="s">
        <v>68</v>
      </c>
      <c r="H180" s="765"/>
      <c r="I180" s="765"/>
      <c r="J180" s="766">
        <f>$J$93</f>
        <v>2023</v>
      </c>
      <c r="K180" s="554"/>
      <c r="L180" s="1536" t="s">
        <v>69</v>
      </c>
      <c r="M180" s="1536"/>
      <c r="N180" s="1536"/>
      <c r="O180" s="1536"/>
      <c r="P180" s="426"/>
    </row>
    <row r="181" spans="2:16">
      <c r="C181" s="764" t="s">
        <v>70</v>
      </c>
      <c r="D181" s="809">
        <v>2011</v>
      </c>
      <c r="E181" s="764" t="s">
        <v>71</v>
      </c>
      <c r="F181" s="765"/>
      <c r="G181" s="765"/>
      <c r="I181" s="172"/>
      <c r="J181" s="810">
        <f>IF(H174="",0,$F$17)</f>
        <v>0</v>
      </c>
      <c r="K181" s="767"/>
      <c r="L181" s="730" t="s">
        <v>277</v>
      </c>
      <c r="P181" s="426"/>
    </row>
    <row r="182" spans="2:16">
      <c r="C182" s="764" t="s">
        <v>72</v>
      </c>
      <c r="D182" s="808">
        <v>12</v>
      </c>
      <c r="E182" s="764" t="s">
        <v>73</v>
      </c>
      <c r="F182" s="765"/>
      <c r="G182" s="765"/>
      <c r="I182" s="172"/>
      <c r="J182" s="768">
        <f>$F$70</f>
        <v>0.14450383244078713</v>
      </c>
      <c r="K182" s="769"/>
      <c r="L182" s="313" t="str">
        <f>"          INPUT TRUE-UP ARR (WITH &amp; WITHOUT INCENTIVES) FROM EACH PRIOR YEAR"</f>
        <v xml:space="preserve">          INPUT TRUE-UP ARR (WITH &amp; WITHOUT INCENTIVES) FROM EACH PRIOR YEAR</v>
      </c>
      <c r="P182" s="426"/>
    </row>
    <row r="183" spans="2:16">
      <c r="C183" s="764" t="s">
        <v>74</v>
      </c>
      <c r="D183" s="770">
        <f>H$79</f>
        <v>35</v>
      </c>
      <c r="E183" s="764" t="s">
        <v>75</v>
      </c>
      <c r="F183" s="765"/>
      <c r="G183" s="765"/>
      <c r="I183" s="172"/>
      <c r="J183" s="768">
        <f>IF(H174="",+J182,$F$69)</f>
        <v>0.14450383244078713</v>
      </c>
      <c r="K183" s="771"/>
      <c r="L183" s="313" t="s">
        <v>157</v>
      </c>
      <c r="M183" s="771"/>
      <c r="N183" s="771"/>
      <c r="O183" s="771"/>
      <c r="P183" s="426"/>
    </row>
    <row r="184" spans="2:16" ht="13.5" thickBot="1">
      <c r="C184" s="764" t="s">
        <v>76</v>
      </c>
      <c r="D184" s="807" t="s">
        <v>808</v>
      </c>
      <c r="E184" s="772" t="s">
        <v>77</v>
      </c>
      <c r="F184" s="773"/>
      <c r="G184" s="773"/>
      <c r="H184" s="774"/>
      <c r="I184" s="774"/>
      <c r="J184" s="752">
        <f>IF(D180=0,0,D180/D183)</f>
        <v>99254.919142857136</v>
      </c>
      <c r="K184" s="730"/>
      <c r="L184" s="730" t="s">
        <v>158</v>
      </c>
      <c r="M184" s="730"/>
      <c r="N184" s="730"/>
      <c r="O184" s="730"/>
      <c r="P184" s="426"/>
    </row>
    <row r="185" spans="2:16" ht="38.25">
      <c r="B185" s="845"/>
      <c r="C185" s="775" t="s">
        <v>67</v>
      </c>
      <c r="D185" s="776" t="s">
        <v>78</v>
      </c>
      <c r="E185" s="777" t="s">
        <v>79</v>
      </c>
      <c r="F185" s="776" t="s">
        <v>80</v>
      </c>
      <c r="G185" s="776" t="s">
        <v>238</v>
      </c>
      <c r="H185" s="777" t="s">
        <v>151</v>
      </c>
      <c r="I185" s="778" t="s">
        <v>151</v>
      </c>
      <c r="J185" s="775" t="s">
        <v>90</v>
      </c>
      <c r="K185" s="779"/>
      <c r="L185" s="777" t="s">
        <v>153</v>
      </c>
      <c r="M185" s="777" t="s">
        <v>159</v>
      </c>
      <c r="N185" s="777" t="s">
        <v>153</v>
      </c>
      <c r="O185" s="777" t="s">
        <v>161</v>
      </c>
      <c r="P185" s="777" t="s">
        <v>81</v>
      </c>
    </row>
    <row r="186" spans="2:16" ht="13.5" thickBot="1">
      <c r="C186" s="781" t="s">
        <v>469</v>
      </c>
      <c r="D186" s="782" t="s">
        <v>470</v>
      </c>
      <c r="E186" s="781" t="s">
        <v>363</v>
      </c>
      <c r="F186" s="782" t="s">
        <v>470</v>
      </c>
      <c r="G186" s="782" t="s">
        <v>470</v>
      </c>
      <c r="H186" s="783" t="s">
        <v>93</v>
      </c>
      <c r="I186" s="784" t="s">
        <v>95</v>
      </c>
      <c r="J186" s="785" t="s">
        <v>15</v>
      </c>
      <c r="K186" s="786"/>
      <c r="L186" s="783" t="s">
        <v>82</v>
      </c>
      <c r="M186" s="783" t="s">
        <v>82</v>
      </c>
      <c r="N186" s="783" t="s">
        <v>255</v>
      </c>
      <c r="O186" s="783" t="s">
        <v>255</v>
      </c>
      <c r="P186" s="783" t="s">
        <v>255</v>
      </c>
    </row>
    <row r="187" spans="2:16">
      <c r="C187" s="788">
        <f>IF(D181= "","-",D181)</f>
        <v>2011</v>
      </c>
      <c r="D187" s="736">
        <f>+D180</f>
        <v>3473922.17</v>
      </c>
      <c r="E187" s="794">
        <f>+J184/12*(12-D182)</f>
        <v>0</v>
      </c>
      <c r="F187" s="843">
        <f t="shared" ref="F187:F246" si="8">+D187-E187</f>
        <v>3473922.17</v>
      </c>
      <c r="G187" s="736">
        <f>+(D187+F187)/2</f>
        <v>3473922.17</v>
      </c>
      <c r="H187" s="790">
        <f>+J182*G187+E187</f>
        <v>501995.06716601562</v>
      </c>
      <c r="I187" s="791">
        <f>+J183*G187+E187</f>
        <v>501995.06716601562</v>
      </c>
      <c r="J187" s="792">
        <f>+I187-H187</f>
        <v>0</v>
      </c>
      <c r="K187" s="792"/>
      <c r="L187" s="811"/>
      <c r="M187" s="844">
        <f t="shared" ref="M187:M246" si="9">IF(L187&lt;&gt;0,+H187-L187,0)</f>
        <v>0</v>
      </c>
      <c r="N187" s="811"/>
      <c r="O187" s="844">
        <f t="shared" ref="O187:O246" si="10">IF(N187&lt;&gt;0,+I187-N187,0)</f>
        <v>0</v>
      </c>
      <c r="P187" s="844">
        <f t="shared" ref="P187:P246" si="11">+O187-M187</f>
        <v>0</v>
      </c>
    </row>
    <row r="188" spans="2:16">
      <c r="C188" s="788">
        <f>IF(D181="","-",+C187+1)</f>
        <v>2012</v>
      </c>
      <c r="D188" s="736">
        <f t="shared" ref="D188:D240" si="12">F187</f>
        <v>3473922.17</v>
      </c>
      <c r="E188" s="789">
        <f>IF(D188&gt;$J$184,$J$184,D188)</f>
        <v>99254.919142857136</v>
      </c>
      <c r="F188" s="789">
        <f t="shared" si="8"/>
        <v>3374667.2508571427</v>
      </c>
      <c r="G188" s="736">
        <f t="shared" ref="G188:G246" si="13">+(D188+F188)/2</f>
        <v>3424294.7104285713</v>
      </c>
      <c r="H188" s="794">
        <f>+J182*G188+E188</f>
        <v>594078.62820650102</v>
      </c>
      <c r="I188" s="795">
        <f>+J183*G188+E188</f>
        <v>594078.62820650102</v>
      </c>
      <c r="J188" s="792">
        <f>+I188-H188</f>
        <v>0</v>
      </c>
      <c r="K188" s="792"/>
      <c r="L188" s="812">
        <v>386386</v>
      </c>
      <c r="M188" s="792">
        <f t="shared" si="9"/>
        <v>207692.62820650102</v>
      </c>
      <c r="N188" s="812">
        <v>386386</v>
      </c>
      <c r="O188" s="792">
        <f t="shared" si="10"/>
        <v>207692.62820650102</v>
      </c>
      <c r="P188" s="792">
        <f t="shared" si="11"/>
        <v>0</v>
      </c>
    </row>
    <row r="189" spans="2:16">
      <c r="C189" s="788">
        <f>IF(D181="","-",+C188+1)</f>
        <v>2013</v>
      </c>
      <c r="D189" s="736">
        <f t="shared" si="12"/>
        <v>3374667.2508571427</v>
      </c>
      <c r="E189" s="789">
        <f t="shared" ref="E189:E246" si="14">IF(D189&gt;$J$184,$J$184,D189)</f>
        <v>99254.919142857136</v>
      </c>
      <c r="F189" s="789">
        <f t="shared" si="8"/>
        <v>3275412.3317142855</v>
      </c>
      <c r="G189" s="736">
        <f t="shared" si="13"/>
        <v>3325039.7912857141</v>
      </c>
      <c r="H189" s="794">
        <f>+J182*G189+E189</f>
        <v>579735.91200175777</v>
      </c>
      <c r="I189" s="795">
        <f>+J183*G189+E189</f>
        <v>579735.91200175777</v>
      </c>
      <c r="J189" s="792">
        <f t="shared" ref="J189:J246" si="15">+I189-H189</f>
        <v>0</v>
      </c>
      <c r="K189" s="792"/>
      <c r="L189" s="812">
        <v>410711</v>
      </c>
      <c r="M189" s="792">
        <f t="shared" si="9"/>
        <v>169024.91200175777</v>
      </c>
      <c r="N189" s="812">
        <v>410711</v>
      </c>
      <c r="O189" s="792">
        <f t="shared" si="10"/>
        <v>169024.91200175777</v>
      </c>
      <c r="P189" s="792">
        <f t="shared" si="11"/>
        <v>0</v>
      </c>
    </row>
    <row r="190" spans="2:16">
      <c r="C190" s="788">
        <f>IF(D181="","-",+C189+1)</f>
        <v>2014</v>
      </c>
      <c r="D190" s="736">
        <f t="shared" si="12"/>
        <v>3275412.3317142855</v>
      </c>
      <c r="E190" s="789">
        <f t="shared" si="14"/>
        <v>99254.919142857136</v>
      </c>
      <c r="F190" s="789">
        <f t="shared" si="8"/>
        <v>3176157.4125714283</v>
      </c>
      <c r="G190" s="736">
        <f t="shared" si="13"/>
        <v>3225784.8721428569</v>
      </c>
      <c r="H190" s="794">
        <f>+J182*G190+E190</f>
        <v>565393.19579701452</v>
      </c>
      <c r="I190" s="795">
        <f>+J183*G190+E190</f>
        <v>565393.19579701452</v>
      </c>
      <c r="J190" s="792">
        <f t="shared" si="15"/>
        <v>0</v>
      </c>
      <c r="K190" s="792"/>
      <c r="L190" s="812">
        <v>453040</v>
      </c>
      <c r="M190" s="792">
        <f t="shared" si="9"/>
        <v>112353.19579701452</v>
      </c>
      <c r="N190" s="812">
        <v>453040</v>
      </c>
      <c r="O190" s="792">
        <f t="shared" si="10"/>
        <v>112353.19579701452</v>
      </c>
      <c r="P190" s="792">
        <f t="shared" si="11"/>
        <v>0</v>
      </c>
    </row>
    <row r="191" spans="2:16">
      <c r="C191" s="788">
        <f>IF(D181="","-",+C190+1)</f>
        <v>2015</v>
      </c>
      <c r="D191" s="736">
        <f t="shared" si="12"/>
        <v>3176157.4125714283</v>
      </c>
      <c r="E191" s="789">
        <f t="shared" si="14"/>
        <v>99254.919142857136</v>
      </c>
      <c r="F191" s="789">
        <f t="shared" si="8"/>
        <v>3076902.4934285711</v>
      </c>
      <c r="G191" s="736">
        <f t="shared" si="13"/>
        <v>3126529.9529999997</v>
      </c>
      <c r="H191" s="794">
        <f>+J182*G191+E191</f>
        <v>551050.47959227115</v>
      </c>
      <c r="I191" s="795">
        <f>+J183*G191+E191</f>
        <v>551050.47959227115</v>
      </c>
      <c r="J191" s="792">
        <f t="shared" si="15"/>
        <v>0</v>
      </c>
      <c r="K191" s="792"/>
      <c r="L191" s="812">
        <v>435575</v>
      </c>
      <c r="M191" s="792">
        <f t="shared" si="9"/>
        <v>115475.47959227115</v>
      </c>
      <c r="N191" s="812">
        <v>435575</v>
      </c>
      <c r="O191" s="792">
        <f t="shared" si="10"/>
        <v>115475.47959227115</v>
      </c>
      <c r="P191" s="792">
        <f t="shared" si="11"/>
        <v>0</v>
      </c>
    </row>
    <row r="192" spans="2:16">
      <c r="C192" s="788">
        <f>IF(D181="","-",+C191+1)</f>
        <v>2016</v>
      </c>
      <c r="D192" s="736">
        <f t="shared" si="12"/>
        <v>3076902.4934285711</v>
      </c>
      <c r="E192" s="789">
        <f t="shared" si="14"/>
        <v>99254.919142857136</v>
      </c>
      <c r="F192" s="789">
        <f t="shared" si="8"/>
        <v>2977647.574285714</v>
      </c>
      <c r="G192" s="736">
        <f t="shared" si="13"/>
        <v>3027275.0338571426</v>
      </c>
      <c r="H192" s="794">
        <f>+J182*G192+E192</f>
        <v>536707.76338752778</v>
      </c>
      <c r="I192" s="795">
        <f>+J183*G192+E192</f>
        <v>536707.76338752778</v>
      </c>
      <c r="J192" s="792">
        <f t="shared" si="15"/>
        <v>0</v>
      </c>
      <c r="K192" s="792"/>
      <c r="L192" s="812">
        <v>473027</v>
      </c>
      <c r="M192" s="792">
        <f t="shared" si="9"/>
        <v>63680.763387527782</v>
      </c>
      <c r="N192" s="812">
        <v>473027</v>
      </c>
      <c r="O192" s="792">
        <f t="shared" si="10"/>
        <v>63680.763387527782</v>
      </c>
      <c r="P192" s="792">
        <f t="shared" si="11"/>
        <v>0</v>
      </c>
    </row>
    <row r="193" spans="3:16">
      <c r="C193" s="788">
        <f>IF(D181="","-",+C192+1)</f>
        <v>2017</v>
      </c>
      <c r="D193" s="1321">
        <f t="shared" si="12"/>
        <v>2977647.574285714</v>
      </c>
      <c r="E193" s="789">
        <f t="shared" si="14"/>
        <v>99254.919142857136</v>
      </c>
      <c r="F193" s="789">
        <f t="shared" si="8"/>
        <v>2878392.6551428568</v>
      </c>
      <c r="G193" s="736">
        <f t="shared" si="13"/>
        <v>2928020.1147142854</v>
      </c>
      <c r="H193" s="794">
        <f>+J182*G193+E193</f>
        <v>522365.04718278453</v>
      </c>
      <c r="I193" s="795">
        <f>+J183*G193+E193</f>
        <v>522365.04718278453</v>
      </c>
      <c r="J193" s="792">
        <f t="shared" si="15"/>
        <v>0</v>
      </c>
      <c r="K193" s="792"/>
      <c r="L193" s="812">
        <v>562920</v>
      </c>
      <c r="M193" s="792">
        <f t="shared" si="9"/>
        <v>-40554.952817215468</v>
      </c>
      <c r="N193" s="812">
        <v>562920</v>
      </c>
      <c r="O193" s="792">
        <f t="shared" si="10"/>
        <v>-40554.952817215468</v>
      </c>
      <c r="P193" s="792">
        <f t="shared" si="11"/>
        <v>0</v>
      </c>
    </row>
    <row r="194" spans="3:16">
      <c r="C194" s="788">
        <f>IF(D181="","-",+C193+1)</f>
        <v>2018</v>
      </c>
      <c r="D194" s="1402">
        <f t="shared" si="12"/>
        <v>2878392.6551428568</v>
      </c>
      <c r="E194" s="789">
        <f t="shared" si="14"/>
        <v>99254.919142857136</v>
      </c>
      <c r="F194" s="789">
        <f t="shared" si="8"/>
        <v>2779137.7359999996</v>
      </c>
      <c r="G194" s="736">
        <f t="shared" si="13"/>
        <v>2828765.1955714282</v>
      </c>
      <c r="H194" s="794">
        <f>+J182*G194+E194</f>
        <v>508022.33097804122</v>
      </c>
      <c r="I194" s="795">
        <f>+J183*G194+E194</f>
        <v>508022.33097804122</v>
      </c>
      <c r="J194" s="792">
        <f t="shared" si="15"/>
        <v>0</v>
      </c>
      <c r="K194" s="792"/>
      <c r="L194" s="812">
        <v>499743</v>
      </c>
      <c r="M194" s="792">
        <f t="shared" si="9"/>
        <v>8279.3309780412237</v>
      </c>
      <c r="N194" s="812">
        <v>499743</v>
      </c>
      <c r="O194" s="792">
        <f t="shared" si="10"/>
        <v>8279.3309780412237</v>
      </c>
      <c r="P194" s="792">
        <f t="shared" si="11"/>
        <v>0</v>
      </c>
    </row>
    <row r="195" spans="3:16">
      <c r="C195" s="788">
        <f>IF(D181="","-",+C194+1)</f>
        <v>2019</v>
      </c>
      <c r="D195" s="736">
        <f t="shared" si="12"/>
        <v>2779137.7359999996</v>
      </c>
      <c r="E195" s="789">
        <f t="shared" si="14"/>
        <v>99254.919142857136</v>
      </c>
      <c r="F195" s="789">
        <f t="shared" si="8"/>
        <v>2679882.8168571424</v>
      </c>
      <c r="G195" s="736">
        <f t="shared" si="13"/>
        <v>2729510.276428571</v>
      </c>
      <c r="H195" s="794">
        <f>+J182*G195+E195</f>
        <v>493679.61477329792</v>
      </c>
      <c r="I195" s="795">
        <f>+J183*G195+E195</f>
        <v>493679.61477329792</v>
      </c>
      <c r="J195" s="792">
        <f t="shared" si="15"/>
        <v>0</v>
      </c>
      <c r="K195" s="792"/>
      <c r="L195" s="812">
        <v>509430.75444224867</v>
      </c>
      <c r="M195" s="792">
        <f t="shared" si="9"/>
        <v>-15751.139668950753</v>
      </c>
      <c r="N195" s="812">
        <v>509430.75444224867</v>
      </c>
      <c r="O195" s="792">
        <f t="shared" si="10"/>
        <v>-15751.139668950753</v>
      </c>
      <c r="P195" s="792">
        <f t="shared" si="11"/>
        <v>0</v>
      </c>
    </row>
    <row r="196" spans="3:16">
      <c r="C196" s="788">
        <f>IF(D181="","-",+C195+1)</f>
        <v>2020</v>
      </c>
      <c r="D196" s="736">
        <f t="shared" si="12"/>
        <v>2679882.8168571424</v>
      </c>
      <c r="E196" s="789">
        <f t="shared" si="14"/>
        <v>99254.919142857136</v>
      </c>
      <c r="F196" s="789">
        <f t="shared" si="8"/>
        <v>2580627.8977142852</v>
      </c>
      <c r="G196" s="736">
        <f t="shared" si="13"/>
        <v>2630255.3572857138</v>
      </c>
      <c r="H196" s="794">
        <f>+J182*G196+E196</f>
        <v>479336.89856855461</v>
      </c>
      <c r="I196" s="795">
        <f>+J183*G196+E196</f>
        <v>479336.89856855461</v>
      </c>
      <c r="J196" s="792">
        <f t="shared" si="15"/>
        <v>0</v>
      </c>
      <c r="K196" s="792"/>
      <c r="L196" s="812">
        <v>529805.83146959567</v>
      </c>
      <c r="M196" s="792">
        <f t="shared" si="9"/>
        <v>-50468.932901041058</v>
      </c>
      <c r="N196" s="812">
        <v>529805.83146959567</v>
      </c>
      <c r="O196" s="792">
        <f t="shared" si="10"/>
        <v>-50468.932901041058</v>
      </c>
      <c r="P196" s="792">
        <f t="shared" si="11"/>
        <v>0</v>
      </c>
    </row>
    <row r="197" spans="3:16">
      <c r="C197" s="788">
        <f>IF(D181="","-",+C196+1)</f>
        <v>2021</v>
      </c>
      <c r="D197" s="736">
        <f t="shared" si="12"/>
        <v>2580627.8977142852</v>
      </c>
      <c r="E197" s="789">
        <f t="shared" si="14"/>
        <v>99254.919142857136</v>
      </c>
      <c r="F197" s="789">
        <f t="shared" si="8"/>
        <v>2481372.978571428</v>
      </c>
      <c r="G197" s="736">
        <f t="shared" si="13"/>
        <v>2531000.4381428566</v>
      </c>
      <c r="H197" s="794">
        <f>+J182*G197+E197</f>
        <v>464994.1823638113</v>
      </c>
      <c r="I197" s="795">
        <f>+J183*G197+E197</f>
        <v>464994.1823638113</v>
      </c>
      <c r="J197" s="792">
        <f t="shared" si="15"/>
        <v>0</v>
      </c>
      <c r="K197" s="792"/>
      <c r="L197" s="812">
        <v>473116.5193442005</v>
      </c>
      <c r="M197" s="792">
        <f t="shared" si="9"/>
        <v>-8122.3369803891983</v>
      </c>
      <c r="N197" s="812">
        <v>473116.5193442005</v>
      </c>
      <c r="O197" s="792">
        <f t="shared" si="10"/>
        <v>-8122.3369803891983</v>
      </c>
      <c r="P197" s="792">
        <f t="shared" si="11"/>
        <v>0</v>
      </c>
    </row>
    <row r="198" spans="3:16">
      <c r="C198" s="788">
        <f>IF(D181="","-",+C197+1)</f>
        <v>2022</v>
      </c>
      <c r="D198" s="736">
        <f t="shared" si="12"/>
        <v>2481372.978571428</v>
      </c>
      <c r="E198" s="789">
        <f t="shared" si="14"/>
        <v>99254.919142857136</v>
      </c>
      <c r="F198" s="789">
        <f t="shared" si="8"/>
        <v>2382118.0594285708</v>
      </c>
      <c r="G198" s="736">
        <f t="shared" si="13"/>
        <v>2431745.5189999994</v>
      </c>
      <c r="H198" s="794">
        <f>+J182*G198+E198</f>
        <v>450651.46615906799</v>
      </c>
      <c r="I198" s="795">
        <f>+J183*G198+E198</f>
        <v>450651.46615906799</v>
      </c>
      <c r="J198" s="792">
        <f t="shared" si="15"/>
        <v>0</v>
      </c>
      <c r="K198" s="792"/>
      <c r="L198" s="812">
        <v>469756.18941124767</v>
      </c>
      <c r="M198" s="792">
        <f t="shared" si="9"/>
        <v>-19104.723252179683</v>
      </c>
      <c r="N198" s="812">
        <v>469756.18941124767</v>
      </c>
      <c r="O198" s="792">
        <f t="shared" si="10"/>
        <v>-19104.723252179683</v>
      </c>
      <c r="P198" s="792">
        <f t="shared" si="11"/>
        <v>0</v>
      </c>
    </row>
    <row r="199" spans="3:16">
      <c r="C199" s="788">
        <f>IF(D181="","-",+C198+1)</f>
        <v>2023</v>
      </c>
      <c r="D199" s="736">
        <f t="shared" si="12"/>
        <v>2382118.0594285708</v>
      </c>
      <c r="E199" s="789">
        <f t="shared" si="14"/>
        <v>99254.919142857136</v>
      </c>
      <c r="F199" s="789">
        <f t="shared" si="8"/>
        <v>2282863.1402857136</v>
      </c>
      <c r="G199" s="736">
        <f t="shared" si="13"/>
        <v>2332490.5998571422</v>
      </c>
      <c r="H199" s="794">
        <f>+J182*G199+E199</f>
        <v>436308.74995432468</v>
      </c>
      <c r="I199" s="795">
        <f>+J183*G199+E199</f>
        <v>436308.74995432468</v>
      </c>
      <c r="J199" s="792">
        <f t="shared" si="15"/>
        <v>0</v>
      </c>
      <c r="K199" s="792"/>
      <c r="L199" s="812">
        <v>455127.19546763896</v>
      </c>
      <c r="M199" s="792">
        <f t="shared" si="9"/>
        <v>-18818.445513314276</v>
      </c>
      <c r="N199" s="812">
        <v>455127.19546763896</v>
      </c>
      <c r="O199" s="792">
        <f t="shared" si="10"/>
        <v>-18818.445513314276</v>
      </c>
      <c r="P199" s="792">
        <f t="shared" si="11"/>
        <v>0</v>
      </c>
    </row>
    <row r="200" spans="3:16">
      <c r="C200" s="788">
        <f>IF(D181="","-",+C199+1)</f>
        <v>2024</v>
      </c>
      <c r="D200" s="736">
        <f t="shared" si="12"/>
        <v>2282863.1402857136</v>
      </c>
      <c r="E200" s="789">
        <f t="shared" si="14"/>
        <v>99254.919142857136</v>
      </c>
      <c r="F200" s="789">
        <f t="shared" si="8"/>
        <v>2183608.2211428564</v>
      </c>
      <c r="G200" s="736">
        <f t="shared" si="13"/>
        <v>2233235.680714285</v>
      </c>
      <c r="H200" s="794">
        <f>+J182*G200+E200</f>
        <v>421966.03374958137</v>
      </c>
      <c r="I200" s="795">
        <f>+J183*G200+E200</f>
        <v>421966.03374958137</v>
      </c>
      <c r="J200" s="792">
        <f t="shared" si="15"/>
        <v>0</v>
      </c>
      <c r="K200" s="792"/>
      <c r="L200" s="812"/>
      <c r="M200" s="792">
        <f t="shared" si="9"/>
        <v>0</v>
      </c>
      <c r="N200" s="812"/>
      <c r="O200" s="792">
        <f t="shared" si="10"/>
        <v>0</v>
      </c>
      <c r="P200" s="792">
        <f t="shared" si="11"/>
        <v>0</v>
      </c>
    </row>
    <row r="201" spans="3:16">
      <c r="C201" s="788">
        <f>IF(D181="","-",+C200+1)</f>
        <v>2025</v>
      </c>
      <c r="D201" s="736">
        <f t="shared" si="12"/>
        <v>2183608.2211428564</v>
      </c>
      <c r="E201" s="789">
        <f t="shared" si="14"/>
        <v>99254.919142857136</v>
      </c>
      <c r="F201" s="789">
        <f t="shared" si="8"/>
        <v>2084353.3019999992</v>
      </c>
      <c r="G201" s="736">
        <f t="shared" si="13"/>
        <v>2133980.7615714278</v>
      </c>
      <c r="H201" s="794">
        <f>+J182*G201+E201</f>
        <v>407623.31754483806</v>
      </c>
      <c r="I201" s="795">
        <f>+J183*G201+E201</f>
        <v>407623.31754483806</v>
      </c>
      <c r="J201" s="792">
        <f t="shared" si="15"/>
        <v>0</v>
      </c>
      <c r="K201" s="792"/>
      <c r="L201" s="812"/>
      <c r="M201" s="792">
        <f t="shared" si="9"/>
        <v>0</v>
      </c>
      <c r="N201" s="812"/>
      <c r="O201" s="792">
        <f t="shared" si="10"/>
        <v>0</v>
      </c>
      <c r="P201" s="792">
        <f t="shared" si="11"/>
        <v>0</v>
      </c>
    </row>
    <row r="202" spans="3:16">
      <c r="C202" s="788">
        <f>IF(D181="","-",+C201+1)</f>
        <v>2026</v>
      </c>
      <c r="D202" s="736">
        <f t="shared" si="12"/>
        <v>2084353.3019999992</v>
      </c>
      <c r="E202" s="789">
        <f t="shared" si="14"/>
        <v>99254.919142857136</v>
      </c>
      <c r="F202" s="789">
        <f t="shared" si="8"/>
        <v>1985098.382857142</v>
      </c>
      <c r="G202" s="736">
        <f t="shared" si="13"/>
        <v>2034725.8424285706</v>
      </c>
      <c r="H202" s="794">
        <f>+J182*G202+E202</f>
        <v>393280.60134009476</v>
      </c>
      <c r="I202" s="795">
        <f>+J183*G202+E202</f>
        <v>393280.60134009476</v>
      </c>
      <c r="J202" s="792">
        <f t="shared" si="15"/>
        <v>0</v>
      </c>
      <c r="K202" s="792"/>
      <c r="L202" s="812"/>
      <c r="M202" s="792">
        <f t="shared" si="9"/>
        <v>0</v>
      </c>
      <c r="N202" s="812"/>
      <c r="O202" s="792">
        <f t="shared" si="10"/>
        <v>0</v>
      </c>
      <c r="P202" s="792">
        <f t="shared" si="11"/>
        <v>0</v>
      </c>
    </row>
    <row r="203" spans="3:16">
      <c r="C203" s="788">
        <f>IF(D181="","-",+C202+1)</f>
        <v>2027</v>
      </c>
      <c r="D203" s="736">
        <f t="shared" si="12"/>
        <v>1985098.382857142</v>
      </c>
      <c r="E203" s="789">
        <f t="shared" si="14"/>
        <v>99254.919142857136</v>
      </c>
      <c r="F203" s="789">
        <f t="shared" si="8"/>
        <v>1885843.4637142848</v>
      </c>
      <c r="G203" s="736">
        <f t="shared" si="13"/>
        <v>1935470.9232857134</v>
      </c>
      <c r="H203" s="794">
        <f>+J182*G203+E203</f>
        <v>378937.88513535145</v>
      </c>
      <c r="I203" s="795">
        <f>+J183*G203+E203</f>
        <v>378937.88513535145</v>
      </c>
      <c r="J203" s="792">
        <f t="shared" si="15"/>
        <v>0</v>
      </c>
      <c r="K203" s="792"/>
      <c r="L203" s="812"/>
      <c r="M203" s="792">
        <f t="shared" si="9"/>
        <v>0</v>
      </c>
      <c r="N203" s="812"/>
      <c r="O203" s="792">
        <f t="shared" si="10"/>
        <v>0</v>
      </c>
      <c r="P203" s="792">
        <f t="shared" si="11"/>
        <v>0</v>
      </c>
    </row>
    <row r="204" spans="3:16">
      <c r="C204" s="788">
        <f>IF(D181="","-",+C203+1)</f>
        <v>2028</v>
      </c>
      <c r="D204" s="736">
        <f t="shared" si="12"/>
        <v>1885843.4637142848</v>
      </c>
      <c r="E204" s="789">
        <f t="shared" si="14"/>
        <v>99254.919142857136</v>
      </c>
      <c r="F204" s="789">
        <f t="shared" si="8"/>
        <v>1786588.5445714276</v>
      </c>
      <c r="G204" s="736">
        <f t="shared" si="13"/>
        <v>1836216.0041428562</v>
      </c>
      <c r="H204" s="794">
        <f>+J182*G204+E204</f>
        <v>364595.16893060814</v>
      </c>
      <c r="I204" s="795">
        <f>+J183*G204+E204</f>
        <v>364595.16893060814</v>
      </c>
      <c r="J204" s="792">
        <f t="shared" si="15"/>
        <v>0</v>
      </c>
      <c r="K204" s="792"/>
      <c r="L204" s="812"/>
      <c r="M204" s="792">
        <f t="shared" si="9"/>
        <v>0</v>
      </c>
      <c r="N204" s="812"/>
      <c r="O204" s="792">
        <f t="shared" si="10"/>
        <v>0</v>
      </c>
      <c r="P204" s="792">
        <f t="shared" si="11"/>
        <v>0</v>
      </c>
    </row>
    <row r="205" spans="3:16">
      <c r="C205" s="788">
        <f>IF(D181="","-",+C204+1)</f>
        <v>2029</v>
      </c>
      <c r="D205" s="736">
        <f t="shared" si="12"/>
        <v>1786588.5445714276</v>
      </c>
      <c r="E205" s="789">
        <f t="shared" si="14"/>
        <v>99254.919142857136</v>
      </c>
      <c r="F205" s="789">
        <f t="shared" si="8"/>
        <v>1687333.6254285704</v>
      </c>
      <c r="G205" s="736">
        <f t="shared" si="13"/>
        <v>1736961.084999999</v>
      </c>
      <c r="H205" s="794">
        <f>+J182*G205+E205</f>
        <v>350252.45272586483</v>
      </c>
      <c r="I205" s="795">
        <f>+J183*G205+E205</f>
        <v>350252.45272586483</v>
      </c>
      <c r="J205" s="792">
        <f t="shared" si="15"/>
        <v>0</v>
      </c>
      <c r="K205" s="792"/>
      <c r="L205" s="812"/>
      <c r="M205" s="792">
        <f t="shared" si="9"/>
        <v>0</v>
      </c>
      <c r="N205" s="812"/>
      <c r="O205" s="792">
        <f t="shared" si="10"/>
        <v>0</v>
      </c>
      <c r="P205" s="792">
        <f t="shared" si="11"/>
        <v>0</v>
      </c>
    </row>
    <row r="206" spans="3:16">
      <c r="C206" s="788">
        <f>IF(D181="","-",+C205+1)</f>
        <v>2030</v>
      </c>
      <c r="D206" s="736">
        <f t="shared" si="12"/>
        <v>1687333.6254285704</v>
      </c>
      <c r="E206" s="789">
        <f t="shared" si="14"/>
        <v>99254.919142857136</v>
      </c>
      <c r="F206" s="789">
        <f t="shared" si="8"/>
        <v>1588078.7062857132</v>
      </c>
      <c r="G206" s="736">
        <f t="shared" si="13"/>
        <v>1637706.1658571418</v>
      </c>
      <c r="H206" s="794">
        <f>+J182*G206+E206</f>
        <v>335909.73652112146</v>
      </c>
      <c r="I206" s="795">
        <f>+J183*G206+E206</f>
        <v>335909.73652112146</v>
      </c>
      <c r="J206" s="792">
        <f t="shared" si="15"/>
        <v>0</v>
      </c>
      <c r="K206" s="792"/>
      <c r="L206" s="812"/>
      <c r="M206" s="792">
        <f t="shared" si="9"/>
        <v>0</v>
      </c>
      <c r="N206" s="812"/>
      <c r="O206" s="792">
        <f t="shared" si="10"/>
        <v>0</v>
      </c>
      <c r="P206" s="792">
        <f t="shared" si="11"/>
        <v>0</v>
      </c>
    </row>
    <row r="207" spans="3:16">
      <c r="C207" s="788">
        <f>IF(D181="","-",+C206+1)</f>
        <v>2031</v>
      </c>
      <c r="D207" s="736">
        <f t="shared" si="12"/>
        <v>1588078.7062857132</v>
      </c>
      <c r="E207" s="789">
        <f t="shared" si="14"/>
        <v>99254.919142857136</v>
      </c>
      <c r="F207" s="789">
        <f t="shared" si="8"/>
        <v>1488823.787142856</v>
      </c>
      <c r="G207" s="736">
        <f t="shared" si="13"/>
        <v>1538451.2467142846</v>
      </c>
      <c r="H207" s="794">
        <f>+J182*G207+E207</f>
        <v>321567.02031637821</v>
      </c>
      <c r="I207" s="795">
        <f>+J183*G207+E207</f>
        <v>321567.02031637821</v>
      </c>
      <c r="J207" s="792">
        <f t="shared" si="15"/>
        <v>0</v>
      </c>
      <c r="K207" s="792"/>
      <c r="L207" s="812"/>
      <c r="M207" s="792">
        <f t="shared" si="9"/>
        <v>0</v>
      </c>
      <c r="N207" s="812"/>
      <c r="O207" s="792">
        <f t="shared" si="10"/>
        <v>0</v>
      </c>
      <c r="P207" s="792">
        <f t="shared" si="11"/>
        <v>0</v>
      </c>
    </row>
    <row r="208" spans="3:16">
      <c r="C208" s="788">
        <f>IF(D181="","-",+C207+1)</f>
        <v>2032</v>
      </c>
      <c r="D208" s="736">
        <f t="shared" si="12"/>
        <v>1488823.787142856</v>
      </c>
      <c r="E208" s="789">
        <f t="shared" si="14"/>
        <v>99254.919142857136</v>
      </c>
      <c r="F208" s="789">
        <f t="shared" si="8"/>
        <v>1389568.8679999989</v>
      </c>
      <c r="G208" s="736">
        <f t="shared" si="13"/>
        <v>1439196.3275714274</v>
      </c>
      <c r="H208" s="794">
        <f>+J182*G208+E208</f>
        <v>307224.30411163485</v>
      </c>
      <c r="I208" s="795">
        <f>+J183*G208+E208</f>
        <v>307224.30411163485</v>
      </c>
      <c r="J208" s="792">
        <f t="shared" si="15"/>
        <v>0</v>
      </c>
      <c r="K208" s="792"/>
      <c r="L208" s="812"/>
      <c r="M208" s="792">
        <f t="shared" si="9"/>
        <v>0</v>
      </c>
      <c r="N208" s="812"/>
      <c r="O208" s="792">
        <f t="shared" si="10"/>
        <v>0</v>
      </c>
      <c r="P208" s="792">
        <f t="shared" si="11"/>
        <v>0</v>
      </c>
    </row>
    <row r="209" spans="3:16">
      <c r="C209" s="788">
        <f>IF(D181="","-",+C208+1)</f>
        <v>2033</v>
      </c>
      <c r="D209" s="736">
        <f t="shared" si="12"/>
        <v>1389568.8679999989</v>
      </c>
      <c r="E209" s="789">
        <f t="shared" si="14"/>
        <v>99254.919142857136</v>
      </c>
      <c r="F209" s="789">
        <f t="shared" si="8"/>
        <v>1290313.9488571417</v>
      </c>
      <c r="G209" s="736">
        <f t="shared" si="13"/>
        <v>1339941.4084285703</v>
      </c>
      <c r="H209" s="794">
        <f>+J182*G209+E209</f>
        <v>292881.5879068916</v>
      </c>
      <c r="I209" s="795">
        <f>+J183*G209+E209</f>
        <v>292881.5879068916</v>
      </c>
      <c r="J209" s="792">
        <f t="shared" si="15"/>
        <v>0</v>
      </c>
      <c r="K209" s="792"/>
      <c r="L209" s="812"/>
      <c r="M209" s="792">
        <f t="shared" si="9"/>
        <v>0</v>
      </c>
      <c r="N209" s="812"/>
      <c r="O209" s="792">
        <f t="shared" si="10"/>
        <v>0</v>
      </c>
      <c r="P209" s="792">
        <f t="shared" si="11"/>
        <v>0</v>
      </c>
    </row>
    <row r="210" spans="3:16">
      <c r="C210" s="788">
        <f>IF(D181="","-",+C209+1)</f>
        <v>2034</v>
      </c>
      <c r="D210" s="736">
        <f t="shared" si="12"/>
        <v>1290313.9488571417</v>
      </c>
      <c r="E210" s="789">
        <f t="shared" si="14"/>
        <v>99254.919142857136</v>
      </c>
      <c r="F210" s="789">
        <f t="shared" si="8"/>
        <v>1191059.0297142845</v>
      </c>
      <c r="G210" s="736">
        <f t="shared" si="13"/>
        <v>1240686.4892857131</v>
      </c>
      <c r="H210" s="794">
        <f>+J182*G210+E210</f>
        <v>278538.87170214823</v>
      </c>
      <c r="I210" s="795">
        <f>+J183*G210+E210</f>
        <v>278538.87170214823</v>
      </c>
      <c r="J210" s="792">
        <f t="shared" si="15"/>
        <v>0</v>
      </c>
      <c r="K210" s="792"/>
      <c r="L210" s="812"/>
      <c r="M210" s="792">
        <f t="shared" si="9"/>
        <v>0</v>
      </c>
      <c r="N210" s="812"/>
      <c r="O210" s="792">
        <f t="shared" si="10"/>
        <v>0</v>
      </c>
      <c r="P210" s="792">
        <f t="shared" si="11"/>
        <v>0</v>
      </c>
    </row>
    <row r="211" spans="3:16">
      <c r="C211" s="788">
        <f>IF(D181="","-",+C210+1)</f>
        <v>2035</v>
      </c>
      <c r="D211" s="736">
        <f t="shared" si="12"/>
        <v>1191059.0297142845</v>
      </c>
      <c r="E211" s="789">
        <f t="shared" si="14"/>
        <v>99254.919142857136</v>
      </c>
      <c r="F211" s="789">
        <f t="shared" si="8"/>
        <v>1091804.1105714273</v>
      </c>
      <c r="G211" s="736">
        <f t="shared" si="13"/>
        <v>1141431.5701428559</v>
      </c>
      <c r="H211" s="794">
        <f>+J182*G211+E211</f>
        <v>264196.15549740498</v>
      </c>
      <c r="I211" s="795">
        <f>+J183*G211+E211</f>
        <v>264196.15549740498</v>
      </c>
      <c r="J211" s="792">
        <f t="shared" si="15"/>
        <v>0</v>
      </c>
      <c r="K211" s="792"/>
      <c r="L211" s="812"/>
      <c r="M211" s="792">
        <f t="shared" si="9"/>
        <v>0</v>
      </c>
      <c r="N211" s="812"/>
      <c r="O211" s="792">
        <f t="shared" si="10"/>
        <v>0</v>
      </c>
      <c r="P211" s="792">
        <f t="shared" si="11"/>
        <v>0</v>
      </c>
    </row>
    <row r="212" spans="3:16">
      <c r="C212" s="788">
        <f>IF(D181="","-",+C211+1)</f>
        <v>2036</v>
      </c>
      <c r="D212" s="736">
        <f t="shared" si="12"/>
        <v>1091804.1105714273</v>
      </c>
      <c r="E212" s="789">
        <f t="shared" si="14"/>
        <v>99254.919142857136</v>
      </c>
      <c r="F212" s="789">
        <f t="shared" si="8"/>
        <v>992549.19142857008</v>
      </c>
      <c r="G212" s="736">
        <f t="shared" si="13"/>
        <v>1042176.6509999987</v>
      </c>
      <c r="H212" s="794">
        <f>+J182*G212+E212</f>
        <v>249853.43929266164</v>
      </c>
      <c r="I212" s="795">
        <f>+J183*G212+E212</f>
        <v>249853.43929266164</v>
      </c>
      <c r="J212" s="792">
        <f t="shared" si="15"/>
        <v>0</v>
      </c>
      <c r="K212" s="792"/>
      <c r="L212" s="812"/>
      <c r="M212" s="792">
        <f t="shared" si="9"/>
        <v>0</v>
      </c>
      <c r="N212" s="812"/>
      <c r="O212" s="792">
        <f t="shared" si="10"/>
        <v>0</v>
      </c>
      <c r="P212" s="792">
        <f t="shared" si="11"/>
        <v>0</v>
      </c>
    </row>
    <row r="213" spans="3:16">
      <c r="C213" s="788">
        <f>IF(D181="","-",+C212+1)</f>
        <v>2037</v>
      </c>
      <c r="D213" s="736">
        <f t="shared" si="12"/>
        <v>992549.19142857008</v>
      </c>
      <c r="E213" s="789">
        <f t="shared" si="14"/>
        <v>99254.919142857136</v>
      </c>
      <c r="F213" s="789">
        <f t="shared" si="8"/>
        <v>893294.27228571288</v>
      </c>
      <c r="G213" s="736">
        <f t="shared" si="13"/>
        <v>942921.73185714148</v>
      </c>
      <c r="H213" s="794">
        <f>+J182*G213+E213</f>
        <v>235510.7230879183</v>
      </c>
      <c r="I213" s="795">
        <f>+J183*G213+E213</f>
        <v>235510.7230879183</v>
      </c>
      <c r="J213" s="792">
        <f t="shared" si="15"/>
        <v>0</v>
      </c>
      <c r="K213" s="792"/>
      <c r="L213" s="812"/>
      <c r="M213" s="792">
        <f t="shared" si="9"/>
        <v>0</v>
      </c>
      <c r="N213" s="812"/>
      <c r="O213" s="792">
        <f t="shared" si="10"/>
        <v>0</v>
      </c>
      <c r="P213" s="792">
        <f t="shared" si="11"/>
        <v>0</v>
      </c>
    </row>
    <row r="214" spans="3:16">
      <c r="C214" s="788">
        <f>IF(D181="","-",+C213+1)</f>
        <v>2038</v>
      </c>
      <c r="D214" s="736">
        <f t="shared" si="12"/>
        <v>893294.27228571288</v>
      </c>
      <c r="E214" s="789">
        <f t="shared" si="14"/>
        <v>99254.919142857136</v>
      </c>
      <c r="F214" s="789">
        <f t="shared" si="8"/>
        <v>794039.35314285569</v>
      </c>
      <c r="G214" s="736">
        <f t="shared" si="13"/>
        <v>843666.81271428429</v>
      </c>
      <c r="H214" s="794">
        <f>+J182*G214+E214</f>
        <v>221168.006883175</v>
      </c>
      <c r="I214" s="795">
        <f>+J183*G214+E214</f>
        <v>221168.006883175</v>
      </c>
      <c r="J214" s="792">
        <f t="shared" si="15"/>
        <v>0</v>
      </c>
      <c r="K214" s="792"/>
      <c r="L214" s="812"/>
      <c r="M214" s="792">
        <f t="shared" si="9"/>
        <v>0</v>
      </c>
      <c r="N214" s="812"/>
      <c r="O214" s="792">
        <f t="shared" si="10"/>
        <v>0</v>
      </c>
      <c r="P214" s="792">
        <f t="shared" si="11"/>
        <v>0</v>
      </c>
    </row>
    <row r="215" spans="3:16">
      <c r="C215" s="788">
        <f>IF(D181="","-",+C214+1)</f>
        <v>2039</v>
      </c>
      <c r="D215" s="736">
        <f t="shared" si="12"/>
        <v>794039.35314285569</v>
      </c>
      <c r="E215" s="789">
        <f t="shared" si="14"/>
        <v>99254.919142857136</v>
      </c>
      <c r="F215" s="789">
        <f t="shared" si="8"/>
        <v>694784.43399999849</v>
      </c>
      <c r="G215" s="736">
        <f t="shared" si="13"/>
        <v>744411.89357142709</v>
      </c>
      <c r="H215" s="794">
        <f>+J182*G215+E215</f>
        <v>206825.29067843169</v>
      </c>
      <c r="I215" s="795">
        <f>+J183*G215+E215</f>
        <v>206825.29067843169</v>
      </c>
      <c r="J215" s="792">
        <f t="shared" si="15"/>
        <v>0</v>
      </c>
      <c r="K215" s="792"/>
      <c r="L215" s="812"/>
      <c r="M215" s="792">
        <f t="shared" si="9"/>
        <v>0</v>
      </c>
      <c r="N215" s="812"/>
      <c r="O215" s="792">
        <f t="shared" si="10"/>
        <v>0</v>
      </c>
      <c r="P215" s="792">
        <f t="shared" si="11"/>
        <v>0</v>
      </c>
    </row>
    <row r="216" spans="3:16">
      <c r="C216" s="788">
        <f>IF(D181="","-",+C215+1)</f>
        <v>2040</v>
      </c>
      <c r="D216" s="736">
        <f t="shared" si="12"/>
        <v>694784.43399999849</v>
      </c>
      <c r="E216" s="789">
        <f t="shared" si="14"/>
        <v>99254.919142857136</v>
      </c>
      <c r="F216" s="789">
        <f t="shared" si="8"/>
        <v>595529.5148571413</v>
      </c>
      <c r="G216" s="736">
        <f t="shared" si="13"/>
        <v>645156.9744285699</v>
      </c>
      <c r="H216" s="794">
        <f>+J182*G216+E216</f>
        <v>192482.57447368838</v>
      </c>
      <c r="I216" s="795">
        <f>+J183*G216+E216</f>
        <v>192482.57447368838</v>
      </c>
      <c r="J216" s="792">
        <f t="shared" si="15"/>
        <v>0</v>
      </c>
      <c r="K216" s="792"/>
      <c r="L216" s="812"/>
      <c r="M216" s="792">
        <f t="shared" si="9"/>
        <v>0</v>
      </c>
      <c r="N216" s="812"/>
      <c r="O216" s="792">
        <f t="shared" si="10"/>
        <v>0</v>
      </c>
      <c r="P216" s="792">
        <f t="shared" si="11"/>
        <v>0</v>
      </c>
    </row>
    <row r="217" spans="3:16">
      <c r="C217" s="788">
        <f>IF(D181="","-",+C216+1)</f>
        <v>2041</v>
      </c>
      <c r="D217" s="736">
        <f t="shared" si="12"/>
        <v>595529.5148571413</v>
      </c>
      <c r="E217" s="789">
        <f t="shared" si="14"/>
        <v>99254.919142857136</v>
      </c>
      <c r="F217" s="789">
        <f t="shared" si="8"/>
        <v>496274.59571428417</v>
      </c>
      <c r="G217" s="736">
        <f t="shared" si="13"/>
        <v>545902.0552857127</v>
      </c>
      <c r="H217" s="794">
        <f>+J182*G217+E217</f>
        <v>178139.85826894507</v>
      </c>
      <c r="I217" s="795">
        <f>+J183*G217+E217</f>
        <v>178139.85826894507</v>
      </c>
      <c r="J217" s="792">
        <f t="shared" si="15"/>
        <v>0</v>
      </c>
      <c r="K217" s="792"/>
      <c r="L217" s="812"/>
      <c r="M217" s="792">
        <f t="shared" si="9"/>
        <v>0</v>
      </c>
      <c r="N217" s="812"/>
      <c r="O217" s="792">
        <f t="shared" si="10"/>
        <v>0</v>
      </c>
      <c r="P217" s="792">
        <f t="shared" si="11"/>
        <v>0</v>
      </c>
    </row>
    <row r="218" spans="3:16">
      <c r="C218" s="788">
        <f>IF(D181="","-",+C217+1)</f>
        <v>2042</v>
      </c>
      <c r="D218" s="736">
        <f t="shared" si="12"/>
        <v>496274.59571428417</v>
      </c>
      <c r="E218" s="789">
        <f t="shared" si="14"/>
        <v>99254.919142857136</v>
      </c>
      <c r="F218" s="789">
        <f t="shared" si="8"/>
        <v>397019.67657142703</v>
      </c>
      <c r="G218" s="736">
        <f t="shared" si="13"/>
        <v>446647.13614285563</v>
      </c>
      <c r="H218" s="794">
        <f>+J182*G218+E218</f>
        <v>163797.14206420179</v>
      </c>
      <c r="I218" s="795">
        <f>+J183*G218+E218</f>
        <v>163797.14206420179</v>
      </c>
      <c r="J218" s="792">
        <f t="shared" si="15"/>
        <v>0</v>
      </c>
      <c r="K218" s="792"/>
      <c r="L218" s="812"/>
      <c r="M218" s="792">
        <f t="shared" si="9"/>
        <v>0</v>
      </c>
      <c r="N218" s="812"/>
      <c r="O218" s="792">
        <f t="shared" si="10"/>
        <v>0</v>
      </c>
      <c r="P218" s="792">
        <f t="shared" si="11"/>
        <v>0</v>
      </c>
    </row>
    <row r="219" spans="3:16">
      <c r="C219" s="788">
        <f>IF(D181="","-",+C218+1)</f>
        <v>2043</v>
      </c>
      <c r="D219" s="736">
        <f t="shared" si="12"/>
        <v>397019.67657142703</v>
      </c>
      <c r="E219" s="789">
        <f t="shared" si="14"/>
        <v>99254.919142857136</v>
      </c>
      <c r="F219" s="789">
        <f t="shared" si="8"/>
        <v>297764.75742856989</v>
      </c>
      <c r="G219" s="736">
        <f t="shared" si="13"/>
        <v>347392.21699999843</v>
      </c>
      <c r="H219" s="794">
        <f>+J182*G219+E219</f>
        <v>149454.42585945845</v>
      </c>
      <c r="I219" s="795">
        <f>+J183*G219+E219</f>
        <v>149454.42585945845</v>
      </c>
      <c r="J219" s="792">
        <f t="shared" si="15"/>
        <v>0</v>
      </c>
      <c r="K219" s="792"/>
      <c r="L219" s="812"/>
      <c r="M219" s="792">
        <f t="shared" si="9"/>
        <v>0</v>
      </c>
      <c r="N219" s="812"/>
      <c r="O219" s="792">
        <f t="shared" si="10"/>
        <v>0</v>
      </c>
      <c r="P219" s="792">
        <f t="shared" si="11"/>
        <v>0</v>
      </c>
    </row>
    <row r="220" spans="3:16">
      <c r="C220" s="788">
        <f>IF(D181="","-",+C219+1)</f>
        <v>2044</v>
      </c>
      <c r="D220" s="736">
        <f t="shared" si="12"/>
        <v>297764.75742856989</v>
      </c>
      <c r="E220" s="789">
        <f t="shared" si="14"/>
        <v>99254.919142857136</v>
      </c>
      <c r="F220" s="789">
        <f t="shared" si="8"/>
        <v>198509.83828571276</v>
      </c>
      <c r="G220" s="736">
        <f t="shared" si="13"/>
        <v>248137.29785714133</v>
      </c>
      <c r="H220" s="794">
        <f>+J182*G220+E220</f>
        <v>135111.70965471517</v>
      </c>
      <c r="I220" s="795">
        <f>+J183*G220+E220</f>
        <v>135111.70965471517</v>
      </c>
      <c r="J220" s="792">
        <f t="shared" si="15"/>
        <v>0</v>
      </c>
      <c r="K220" s="792"/>
      <c r="L220" s="812"/>
      <c r="M220" s="792">
        <f t="shared" si="9"/>
        <v>0</v>
      </c>
      <c r="N220" s="812"/>
      <c r="O220" s="792">
        <f t="shared" si="10"/>
        <v>0</v>
      </c>
      <c r="P220" s="792">
        <f t="shared" si="11"/>
        <v>0</v>
      </c>
    </row>
    <row r="221" spans="3:16">
      <c r="C221" s="788">
        <f>IF(D181="","-",+C220+1)</f>
        <v>2045</v>
      </c>
      <c r="D221" s="736">
        <f t="shared" si="12"/>
        <v>198509.83828571276</v>
      </c>
      <c r="E221" s="789">
        <f t="shared" si="14"/>
        <v>99254.919142857136</v>
      </c>
      <c r="F221" s="789">
        <f t="shared" si="8"/>
        <v>99254.919142855622</v>
      </c>
      <c r="G221" s="736">
        <f t="shared" si="13"/>
        <v>148882.37871428419</v>
      </c>
      <c r="H221" s="794">
        <f>+J182*G221+E221</f>
        <v>120768.99344997187</v>
      </c>
      <c r="I221" s="795">
        <f>+J183*G221+E221</f>
        <v>120768.99344997187</v>
      </c>
      <c r="J221" s="792">
        <f t="shared" si="15"/>
        <v>0</v>
      </c>
      <c r="K221" s="792"/>
      <c r="L221" s="812"/>
      <c r="M221" s="792">
        <f t="shared" si="9"/>
        <v>0</v>
      </c>
      <c r="N221" s="812"/>
      <c r="O221" s="792">
        <f t="shared" si="10"/>
        <v>0</v>
      </c>
      <c r="P221" s="792">
        <f t="shared" si="11"/>
        <v>0</v>
      </c>
    </row>
    <row r="222" spans="3:16">
      <c r="C222" s="788">
        <f>IF(D181="","-",+C221+1)</f>
        <v>2046</v>
      </c>
      <c r="D222" s="736">
        <f t="shared" si="12"/>
        <v>99254.919142855622</v>
      </c>
      <c r="E222" s="789">
        <f t="shared" si="14"/>
        <v>99254.919142855622</v>
      </c>
      <c r="F222" s="789">
        <f t="shared" si="8"/>
        <v>0</v>
      </c>
      <c r="G222" s="736">
        <f t="shared" si="13"/>
        <v>49627.459571427811</v>
      </c>
      <c r="H222" s="794">
        <f>+J182*G222+E222</f>
        <v>106426.27724522716</v>
      </c>
      <c r="I222" s="795">
        <f>+J183*G222+E222</f>
        <v>106426.27724522716</v>
      </c>
      <c r="J222" s="792">
        <f t="shared" si="15"/>
        <v>0</v>
      </c>
      <c r="K222" s="792"/>
      <c r="L222" s="812"/>
      <c r="M222" s="792">
        <f t="shared" si="9"/>
        <v>0</v>
      </c>
      <c r="N222" s="812"/>
      <c r="O222" s="792">
        <f t="shared" si="10"/>
        <v>0</v>
      </c>
      <c r="P222" s="792">
        <f t="shared" si="11"/>
        <v>0</v>
      </c>
    </row>
    <row r="223" spans="3:16">
      <c r="C223" s="788">
        <f>IF(D181="","-",+C222+1)</f>
        <v>2047</v>
      </c>
      <c r="D223" s="736">
        <f t="shared" si="12"/>
        <v>0</v>
      </c>
      <c r="E223" s="789">
        <f t="shared" si="14"/>
        <v>0</v>
      </c>
      <c r="F223" s="789">
        <f t="shared" si="8"/>
        <v>0</v>
      </c>
      <c r="G223" s="736">
        <f t="shared" si="13"/>
        <v>0</v>
      </c>
      <c r="H223" s="794">
        <f>+J182*G223+E223</f>
        <v>0</v>
      </c>
      <c r="I223" s="795">
        <f>+J183*G223+E223</f>
        <v>0</v>
      </c>
      <c r="J223" s="792">
        <f t="shared" si="15"/>
        <v>0</v>
      </c>
      <c r="K223" s="792"/>
      <c r="L223" s="812"/>
      <c r="M223" s="792">
        <f t="shared" si="9"/>
        <v>0</v>
      </c>
      <c r="N223" s="812"/>
      <c r="O223" s="792">
        <f t="shared" si="10"/>
        <v>0</v>
      </c>
      <c r="P223" s="792">
        <f t="shared" si="11"/>
        <v>0</v>
      </c>
    </row>
    <row r="224" spans="3:16">
      <c r="C224" s="788">
        <f>IF(D181="","-",+C223+1)</f>
        <v>2048</v>
      </c>
      <c r="D224" s="736">
        <f t="shared" si="12"/>
        <v>0</v>
      </c>
      <c r="E224" s="789">
        <f t="shared" si="14"/>
        <v>0</v>
      </c>
      <c r="F224" s="789">
        <f t="shared" si="8"/>
        <v>0</v>
      </c>
      <c r="G224" s="736">
        <f t="shared" si="13"/>
        <v>0</v>
      </c>
      <c r="H224" s="794">
        <f>+J182*G224+E224</f>
        <v>0</v>
      </c>
      <c r="I224" s="795">
        <f>+J183*G224+E224</f>
        <v>0</v>
      </c>
      <c r="J224" s="792">
        <f t="shared" si="15"/>
        <v>0</v>
      </c>
      <c r="K224" s="792"/>
      <c r="L224" s="812"/>
      <c r="M224" s="792">
        <f t="shared" si="9"/>
        <v>0</v>
      </c>
      <c r="N224" s="812"/>
      <c r="O224" s="792">
        <f t="shared" si="10"/>
        <v>0</v>
      </c>
      <c r="P224" s="792">
        <f t="shared" si="11"/>
        <v>0</v>
      </c>
    </row>
    <row r="225" spans="3:16">
      <c r="C225" s="788">
        <f>IF(D181="","-",+C224+1)</f>
        <v>2049</v>
      </c>
      <c r="D225" s="736">
        <f t="shared" si="12"/>
        <v>0</v>
      </c>
      <c r="E225" s="789">
        <f t="shared" si="14"/>
        <v>0</v>
      </c>
      <c r="F225" s="789">
        <f t="shared" si="8"/>
        <v>0</v>
      </c>
      <c r="G225" s="736">
        <f t="shared" si="13"/>
        <v>0</v>
      </c>
      <c r="H225" s="794">
        <f>+J182*G225+E225</f>
        <v>0</v>
      </c>
      <c r="I225" s="795">
        <f>+J183*G225+E225</f>
        <v>0</v>
      </c>
      <c r="J225" s="792">
        <f t="shared" si="15"/>
        <v>0</v>
      </c>
      <c r="K225" s="792"/>
      <c r="L225" s="812"/>
      <c r="M225" s="792">
        <f t="shared" si="9"/>
        <v>0</v>
      </c>
      <c r="N225" s="812"/>
      <c r="O225" s="792">
        <f t="shared" si="10"/>
        <v>0</v>
      </c>
      <c r="P225" s="792">
        <f t="shared" si="11"/>
        <v>0</v>
      </c>
    </row>
    <row r="226" spans="3:16">
      <c r="C226" s="788">
        <f>IF(D181="","-",+C225+1)</f>
        <v>2050</v>
      </c>
      <c r="D226" s="736">
        <f t="shared" si="12"/>
        <v>0</v>
      </c>
      <c r="E226" s="789">
        <f t="shared" si="14"/>
        <v>0</v>
      </c>
      <c r="F226" s="789">
        <f t="shared" si="8"/>
        <v>0</v>
      </c>
      <c r="G226" s="736">
        <f t="shared" si="13"/>
        <v>0</v>
      </c>
      <c r="H226" s="794">
        <f>+J182*G226+E226</f>
        <v>0</v>
      </c>
      <c r="I226" s="795">
        <f>+J183*G226+E226</f>
        <v>0</v>
      </c>
      <c r="J226" s="792">
        <f t="shared" si="15"/>
        <v>0</v>
      </c>
      <c r="K226" s="792"/>
      <c r="L226" s="812"/>
      <c r="M226" s="792">
        <f t="shared" si="9"/>
        <v>0</v>
      </c>
      <c r="N226" s="812"/>
      <c r="O226" s="792">
        <f t="shared" si="10"/>
        <v>0</v>
      </c>
      <c r="P226" s="792">
        <f t="shared" si="11"/>
        <v>0</v>
      </c>
    </row>
    <row r="227" spans="3:16">
      <c r="C227" s="788">
        <f>IF(D181="","-",+C226+1)</f>
        <v>2051</v>
      </c>
      <c r="D227" s="736">
        <f t="shared" si="12"/>
        <v>0</v>
      </c>
      <c r="E227" s="789">
        <f t="shared" si="14"/>
        <v>0</v>
      </c>
      <c r="F227" s="789">
        <f t="shared" si="8"/>
        <v>0</v>
      </c>
      <c r="G227" s="736">
        <f t="shared" si="13"/>
        <v>0</v>
      </c>
      <c r="H227" s="794">
        <f>+J182*G227+E227</f>
        <v>0</v>
      </c>
      <c r="I227" s="795">
        <f>+J183*G227+E227</f>
        <v>0</v>
      </c>
      <c r="J227" s="792">
        <f t="shared" si="15"/>
        <v>0</v>
      </c>
      <c r="K227" s="792"/>
      <c r="L227" s="812"/>
      <c r="M227" s="792">
        <f t="shared" si="9"/>
        <v>0</v>
      </c>
      <c r="N227" s="812"/>
      <c r="O227" s="792">
        <f t="shared" si="10"/>
        <v>0</v>
      </c>
      <c r="P227" s="792">
        <f t="shared" si="11"/>
        <v>0</v>
      </c>
    </row>
    <row r="228" spans="3:16">
      <c r="C228" s="788">
        <f>IF(D181="","-",+C227+1)</f>
        <v>2052</v>
      </c>
      <c r="D228" s="736">
        <f t="shared" si="12"/>
        <v>0</v>
      </c>
      <c r="E228" s="789">
        <f t="shared" si="14"/>
        <v>0</v>
      </c>
      <c r="F228" s="789">
        <f t="shared" si="8"/>
        <v>0</v>
      </c>
      <c r="G228" s="736">
        <f t="shared" si="13"/>
        <v>0</v>
      </c>
      <c r="H228" s="794">
        <f>+J182*G228+E228</f>
        <v>0</v>
      </c>
      <c r="I228" s="795">
        <f>+J183*G228+E228</f>
        <v>0</v>
      </c>
      <c r="J228" s="792">
        <f t="shared" si="15"/>
        <v>0</v>
      </c>
      <c r="K228" s="792"/>
      <c r="L228" s="812"/>
      <c r="M228" s="792">
        <f t="shared" si="9"/>
        <v>0</v>
      </c>
      <c r="N228" s="812"/>
      <c r="O228" s="792">
        <f t="shared" si="10"/>
        <v>0</v>
      </c>
      <c r="P228" s="792">
        <f t="shared" si="11"/>
        <v>0</v>
      </c>
    </row>
    <row r="229" spans="3:16">
      <c r="C229" s="788">
        <f>IF(D181="","-",+C228+1)</f>
        <v>2053</v>
      </c>
      <c r="D229" s="736">
        <f t="shared" si="12"/>
        <v>0</v>
      </c>
      <c r="E229" s="789">
        <f t="shared" si="14"/>
        <v>0</v>
      </c>
      <c r="F229" s="789">
        <f t="shared" si="8"/>
        <v>0</v>
      </c>
      <c r="G229" s="736">
        <f t="shared" si="13"/>
        <v>0</v>
      </c>
      <c r="H229" s="794">
        <f>+J182*G229+E229</f>
        <v>0</v>
      </c>
      <c r="I229" s="795">
        <f>+J183*G229+E229</f>
        <v>0</v>
      </c>
      <c r="J229" s="792">
        <f t="shared" si="15"/>
        <v>0</v>
      </c>
      <c r="K229" s="792"/>
      <c r="L229" s="812"/>
      <c r="M229" s="792">
        <f t="shared" si="9"/>
        <v>0</v>
      </c>
      <c r="N229" s="812"/>
      <c r="O229" s="792">
        <f t="shared" si="10"/>
        <v>0</v>
      </c>
      <c r="P229" s="792">
        <f t="shared" si="11"/>
        <v>0</v>
      </c>
    </row>
    <row r="230" spans="3:16">
      <c r="C230" s="788">
        <f>IF(D181="","-",+C229+1)</f>
        <v>2054</v>
      </c>
      <c r="D230" s="736">
        <f t="shared" si="12"/>
        <v>0</v>
      </c>
      <c r="E230" s="789">
        <f t="shared" si="14"/>
        <v>0</v>
      </c>
      <c r="F230" s="789">
        <f t="shared" si="8"/>
        <v>0</v>
      </c>
      <c r="G230" s="736">
        <f t="shared" si="13"/>
        <v>0</v>
      </c>
      <c r="H230" s="794">
        <f>+J182*G230+E230</f>
        <v>0</v>
      </c>
      <c r="I230" s="795">
        <f>+J183*G230+E230</f>
        <v>0</v>
      </c>
      <c r="J230" s="792">
        <f t="shared" si="15"/>
        <v>0</v>
      </c>
      <c r="K230" s="792"/>
      <c r="L230" s="812"/>
      <c r="M230" s="792">
        <f t="shared" si="9"/>
        <v>0</v>
      </c>
      <c r="N230" s="812"/>
      <c r="O230" s="792">
        <f t="shared" si="10"/>
        <v>0</v>
      </c>
      <c r="P230" s="792">
        <f t="shared" si="11"/>
        <v>0</v>
      </c>
    </row>
    <row r="231" spans="3:16">
      <c r="C231" s="788">
        <f>IF(D181="","-",+C230+1)</f>
        <v>2055</v>
      </c>
      <c r="D231" s="736">
        <f t="shared" si="12"/>
        <v>0</v>
      </c>
      <c r="E231" s="789">
        <f t="shared" si="14"/>
        <v>0</v>
      </c>
      <c r="F231" s="789">
        <f t="shared" si="8"/>
        <v>0</v>
      </c>
      <c r="G231" s="736">
        <f t="shared" si="13"/>
        <v>0</v>
      </c>
      <c r="H231" s="794">
        <f>+J182*G231+E231</f>
        <v>0</v>
      </c>
      <c r="I231" s="795">
        <f>+J183*G231+E231</f>
        <v>0</v>
      </c>
      <c r="J231" s="792">
        <f t="shared" si="15"/>
        <v>0</v>
      </c>
      <c r="K231" s="792"/>
      <c r="L231" s="812"/>
      <c r="M231" s="792">
        <f t="shared" si="9"/>
        <v>0</v>
      </c>
      <c r="N231" s="812"/>
      <c r="O231" s="792">
        <f t="shared" si="10"/>
        <v>0</v>
      </c>
      <c r="P231" s="792">
        <f t="shared" si="11"/>
        <v>0</v>
      </c>
    </row>
    <row r="232" spans="3:16">
      <c r="C232" s="788">
        <f>IF(D181="","-",+C231+1)</f>
        <v>2056</v>
      </c>
      <c r="D232" s="736">
        <f t="shared" si="12"/>
        <v>0</v>
      </c>
      <c r="E232" s="789">
        <f t="shared" si="14"/>
        <v>0</v>
      </c>
      <c r="F232" s="789">
        <f t="shared" si="8"/>
        <v>0</v>
      </c>
      <c r="G232" s="736">
        <f t="shared" si="13"/>
        <v>0</v>
      </c>
      <c r="H232" s="794">
        <f>+J182*G232+E232</f>
        <v>0</v>
      </c>
      <c r="I232" s="795">
        <f>+J183*G232+E232</f>
        <v>0</v>
      </c>
      <c r="J232" s="792">
        <f t="shared" si="15"/>
        <v>0</v>
      </c>
      <c r="K232" s="792"/>
      <c r="L232" s="812"/>
      <c r="M232" s="792">
        <f t="shared" si="9"/>
        <v>0</v>
      </c>
      <c r="N232" s="812"/>
      <c r="O232" s="792">
        <f t="shared" si="10"/>
        <v>0</v>
      </c>
      <c r="P232" s="792">
        <f t="shared" si="11"/>
        <v>0</v>
      </c>
    </row>
    <row r="233" spans="3:16">
      <c r="C233" s="788">
        <f>IF(D181="","-",+C232+1)</f>
        <v>2057</v>
      </c>
      <c r="D233" s="736">
        <f t="shared" si="12"/>
        <v>0</v>
      </c>
      <c r="E233" s="789">
        <f t="shared" si="14"/>
        <v>0</v>
      </c>
      <c r="F233" s="789">
        <f t="shared" si="8"/>
        <v>0</v>
      </c>
      <c r="G233" s="736">
        <f t="shared" si="13"/>
        <v>0</v>
      </c>
      <c r="H233" s="794">
        <f>+J182*G233+E233</f>
        <v>0</v>
      </c>
      <c r="I233" s="795">
        <f>+J183*G233+E233</f>
        <v>0</v>
      </c>
      <c r="J233" s="792">
        <f t="shared" si="15"/>
        <v>0</v>
      </c>
      <c r="K233" s="792"/>
      <c r="L233" s="812"/>
      <c r="M233" s="792">
        <f t="shared" si="9"/>
        <v>0</v>
      </c>
      <c r="N233" s="812"/>
      <c r="O233" s="792">
        <f t="shared" si="10"/>
        <v>0</v>
      </c>
      <c r="P233" s="792">
        <f t="shared" si="11"/>
        <v>0</v>
      </c>
    </row>
    <row r="234" spans="3:16">
      <c r="C234" s="788">
        <f>IF(D181="","-",+C233+1)</f>
        <v>2058</v>
      </c>
      <c r="D234" s="736">
        <f t="shared" si="12"/>
        <v>0</v>
      </c>
      <c r="E234" s="789">
        <f t="shared" si="14"/>
        <v>0</v>
      </c>
      <c r="F234" s="789">
        <f t="shared" si="8"/>
        <v>0</v>
      </c>
      <c r="G234" s="736">
        <f t="shared" si="13"/>
        <v>0</v>
      </c>
      <c r="H234" s="794">
        <f>+J182*G234+E234</f>
        <v>0</v>
      </c>
      <c r="I234" s="795">
        <f>+J183*G234+E234</f>
        <v>0</v>
      </c>
      <c r="J234" s="792">
        <f t="shared" si="15"/>
        <v>0</v>
      </c>
      <c r="K234" s="792"/>
      <c r="L234" s="812"/>
      <c r="M234" s="792">
        <f t="shared" si="9"/>
        <v>0</v>
      </c>
      <c r="N234" s="812"/>
      <c r="O234" s="792">
        <f t="shared" si="10"/>
        <v>0</v>
      </c>
      <c r="P234" s="792">
        <f t="shared" si="11"/>
        <v>0</v>
      </c>
    </row>
    <row r="235" spans="3:16">
      <c r="C235" s="788">
        <f>IF(D181="","-",+C234+1)</f>
        <v>2059</v>
      </c>
      <c r="D235" s="736">
        <f t="shared" si="12"/>
        <v>0</v>
      </c>
      <c r="E235" s="789">
        <f t="shared" si="14"/>
        <v>0</v>
      </c>
      <c r="F235" s="789">
        <f t="shared" si="8"/>
        <v>0</v>
      </c>
      <c r="G235" s="736">
        <f t="shared" si="13"/>
        <v>0</v>
      </c>
      <c r="H235" s="794">
        <f>+J182*G235+E235</f>
        <v>0</v>
      </c>
      <c r="I235" s="795">
        <f>+J183*G235+E235</f>
        <v>0</v>
      </c>
      <c r="J235" s="792">
        <f t="shared" si="15"/>
        <v>0</v>
      </c>
      <c r="K235" s="792"/>
      <c r="L235" s="812"/>
      <c r="M235" s="792">
        <f t="shared" si="9"/>
        <v>0</v>
      </c>
      <c r="N235" s="812"/>
      <c r="O235" s="792">
        <f t="shared" si="10"/>
        <v>0</v>
      </c>
      <c r="P235" s="792">
        <f t="shared" si="11"/>
        <v>0</v>
      </c>
    </row>
    <row r="236" spans="3:16">
      <c r="C236" s="788">
        <f>IF(D181="","-",+C235+1)</f>
        <v>2060</v>
      </c>
      <c r="D236" s="736">
        <f t="shared" si="12"/>
        <v>0</v>
      </c>
      <c r="E236" s="789">
        <f t="shared" si="14"/>
        <v>0</v>
      </c>
      <c r="F236" s="789">
        <f t="shared" si="8"/>
        <v>0</v>
      </c>
      <c r="G236" s="736">
        <f t="shared" si="13"/>
        <v>0</v>
      </c>
      <c r="H236" s="794">
        <f>+J182*G236+E236</f>
        <v>0</v>
      </c>
      <c r="I236" s="795">
        <f>+J183*G236+E236</f>
        <v>0</v>
      </c>
      <c r="J236" s="792">
        <f t="shared" si="15"/>
        <v>0</v>
      </c>
      <c r="K236" s="792"/>
      <c r="L236" s="812"/>
      <c r="M236" s="792">
        <f t="shared" si="9"/>
        <v>0</v>
      </c>
      <c r="N236" s="812"/>
      <c r="O236" s="792">
        <f t="shared" si="10"/>
        <v>0</v>
      </c>
      <c r="P236" s="792">
        <f t="shared" si="11"/>
        <v>0</v>
      </c>
    </row>
    <row r="237" spans="3:16">
      <c r="C237" s="788">
        <f>IF(D181="","-",+C236+1)</f>
        <v>2061</v>
      </c>
      <c r="D237" s="736">
        <f t="shared" si="12"/>
        <v>0</v>
      </c>
      <c r="E237" s="789">
        <f t="shared" si="14"/>
        <v>0</v>
      </c>
      <c r="F237" s="789">
        <f t="shared" si="8"/>
        <v>0</v>
      </c>
      <c r="G237" s="736">
        <f t="shared" si="13"/>
        <v>0</v>
      </c>
      <c r="H237" s="794">
        <f>+J182*G237+E237</f>
        <v>0</v>
      </c>
      <c r="I237" s="795">
        <f>+J183*G237+E237</f>
        <v>0</v>
      </c>
      <c r="J237" s="792">
        <f t="shared" si="15"/>
        <v>0</v>
      </c>
      <c r="K237" s="792"/>
      <c r="L237" s="812"/>
      <c r="M237" s="792">
        <f t="shared" si="9"/>
        <v>0</v>
      </c>
      <c r="N237" s="812"/>
      <c r="O237" s="792">
        <f t="shared" si="10"/>
        <v>0</v>
      </c>
      <c r="P237" s="792">
        <f t="shared" si="11"/>
        <v>0</v>
      </c>
    </row>
    <row r="238" spans="3:16">
      <c r="C238" s="788">
        <f>IF(D181="","-",+C237+1)</f>
        <v>2062</v>
      </c>
      <c r="D238" s="736">
        <f t="shared" si="12"/>
        <v>0</v>
      </c>
      <c r="E238" s="789">
        <f t="shared" si="14"/>
        <v>0</v>
      </c>
      <c r="F238" s="789">
        <f t="shared" si="8"/>
        <v>0</v>
      </c>
      <c r="G238" s="736">
        <f t="shared" si="13"/>
        <v>0</v>
      </c>
      <c r="H238" s="794">
        <f>+J182*G238+E238</f>
        <v>0</v>
      </c>
      <c r="I238" s="795">
        <f>+J183*G238+E238</f>
        <v>0</v>
      </c>
      <c r="J238" s="792">
        <f t="shared" si="15"/>
        <v>0</v>
      </c>
      <c r="K238" s="792"/>
      <c r="L238" s="812"/>
      <c r="M238" s="792">
        <f t="shared" si="9"/>
        <v>0</v>
      </c>
      <c r="N238" s="812"/>
      <c r="O238" s="792">
        <f t="shared" si="10"/>
        <v>0</v>
      </c>
      <c r="P238" s="792">
        <f t="shared" si="11"/>
        <v>0</v>
      </c>
    </row>
    <row r="239" spans="3:16">
      <c r="C239" s="788">
        <f>IF(D181="","-",+C238+1)</f>
        <v>2063</v>
      </c>
      <c r="D239" s="736">
        <f t="shared" si="12"/>
        <v>0</v>
      </c>
      <c r="E239" s="789">
        <f t="shared" si="14"/>
        <v>0</v>
      </c>
      <c r="F239" s="789">
        <f t="shared" si="8"/>
        <v>0</v>
      </c>
      <c r="G239" s="736">
        <f t="shared" si="13"/>
        <v>0</v>
      </c>
      <c r="H239" s="794">
        <f>+J182*G239+E239</f>
        <v>0</v>
      </c>
      <c r="I239" s="795">
        <f>+J183*G239+E239</f>
        <v>0</v>
      </c>
      <c r="J239" s="792">
        <f t="shared" si="15"/>
        <v>0</v>
      </c>
      <c r="K239" s="792"/>
      <c r="L239" s="812"/>
      <c r="M239" s="792">
        <f t="shared" si="9"/>
        <v>0</v>
      </c>
      <c r="N239" s="812"/>
      <c r="O239" s="792">
        <f t="shared" si="10"/>
        <v>0</v>
      </c>
      <c r="P239" s="792">
        <f t="shared" si="11"/>
        <v>0</v>
      </c>
    </row>
    <row r="240" spans="3:16">
      <c r="C240" s="788">
        <f>IF(D181="","-",+C239+1)</f>
        <v>2064</v>
      </c>
      <c r="D240" s="736">
        <f t="shared" si="12"/>
        <v>0</v>
      </c>
      <c r="E240" s="789">
        <f t="shared" si="14"/>
        <v>0</v>
      </c>
      <c r="F240" s="789">
        <f t="shared" si="8"/>
        <v>0</v>
      </c>
      <c r="G240" s="736">
        <f t="shared" si="13"/>
        <v>0</v>
      </c>
      <c r="H240" s="794">
        <f>+J182*G240+E240</f>
        <v>0</v>
      </c>
      <c r="I240" s="795">
        <f>+J183*G240+E240</f>
        <v>0</v>
      </c>
      <c r="J240" s="792">
        <f t="shared" si="15"/>
        <v>0</v>
      </c>
      <c r="K240" s="792"/>
      <c r="L240" s="812"/>
      <c r="M240" s="792">
        <f t="shared" si="9"/>
        <v>0</v>
      </c>
      <c r="N240" s="812"/>
      <c r="O240" s="792">
        <f t="shared" si="10"/>
        <v>0</v>
      </c>
      <c r="P240" s="792">
        <f t="shared" si="11"/>
        <v>0</v>
      </c>
    </row>
    <row r="241" spans="1:17">
      <c r="C241" s="788">
        <f>IF(D181="","-",+C240+1)</f>
        <v>2065</v>
      </c>
      <c r="D241" s="736">
        <f t="shared" ref="D241:D246" si="16">F240</f>
        <v>0</v>
      </c>
      <c r="E241" s="789">
        <f t="shared" si="14"/>
        <v>0</v>
      </c>
      <c r="F241" s="789">
        <f t="shared" si="8"/>
        <v>0</v>
      </c>
      <c r="G241" s="736">
        <f t="shared" si="13"/>
        <v>0</v>
      </c>
      <c r="H241" s="794">
        <f>+J182*G241+E241</f>
        <v>0</v>
      </c>
      <c r="I241" s="795">
        <f>+J183*G241+E241</f>
        <v>0</v>
      </c>
      <c r="J241" s="792">
        <f t="shared" si="15"/>
        <v>0</v>
      </c>
      <c r="K241" s="792"/>
      <c r="L241" s="812"/>
      <c r="M241" s="792">
        <f t="shared" si="9"/>
        <v>0</v>
      </c>
      <c r="N241" s="812"/>
      <c r="O241" s="792">
        <f t="shared" si="10"/>
        <v>0</v>
      </c>
      <c r="P241" s="792">
        <f t="shared" si="11"/>
        <v>0</v>
      </c>
    </row>
    <row r="242" spans="1:17">
      <c r="C242" s="788">
        <f>IF(D181="","-",+C241+1)</f>
        <v>2066</v>
      </c>
      <c r="D242" s="736">
        <f t="shared" si="16"/>
        <v>0</v>
      </c>
      <c r="E242" s="789">
        <f t="shared" si="14"/>
        <v>0</v>
      </c>
      <c r="F242" s="789">
        <f t="shared" si="8"/>
        <v>0</v>
      </c>
      <c r="G242" s="736">
        <f t="shared" si="13"/>
        <v>0</v>
      </c>
      <c r="H242" s="794">
        <f>+J182*G242+E242</f>
        <v>0</v>
      </c>
      <c r="I242" s="795">
        <f>+J183*G242+E242</f>
        <v>0</v>
      </c>
      <c r="J242" s="792">
        <f t="shared" si="15"/>
        <v>0</v>
      </c>
      <c r="K242" s="792"/>
      <c r="L242" s="812"/>
      <c r="M242" s="792">
        <f t="shared" si="9"/>
        <v>0</v>
      </c>
      <c r="N242" s="812"/>
      <c r="O242" s="792">
        <f t="shared" si="10"/>
        <v>0</v>
      </c>
      <c r="P242" s="792">
        <f t="shared" si="11"/>
        <v>0</v>
      </c>
    </row>
    <row r="243" spans="1:17">
      <c r="C243" s="788">
        <f>IF(D181="","-",+C242+1)</f>
        <v>2067</v>
      </c>
      <c r="D243" s="736">
        <f t="shared" si="16"/>
        <v>0</v>
      </c>
      <c r="E243" s="789">
        <f t="shared" si="14"/>
        <v>0</v>
      </c>
      <c r="F243" s="789">
        <f t="shared" si="8"/>
        <v>0</v>
      </c>
      <c r="G243" s="736">
        <f t="shared" si="13"/>
        <v>0</v>
      </c>
      <c r="H243" s="794">
        <f>+J182*G243+E243</f>
        <v>0</v>
      </c>
      <c r="I243" s="795">
        <f>+J183*G243+E243</f>
        <v>0</v>
      </c>
      <c r="J243" s="792">
        <f t="shared" si="15"/>
        <v>0</v>
      </c>
      <c r="K243" s="792"/>
      <c r="L243" s="812"/>
      <c r="M243" s="792">
        <f t="shared" si="9"/>
        <v>0</v>
      </c>
      <c r="N243" s="812"/>
      <c r="O243" s="792">
        <f t="shared" si="10"/>
        <v>0</v>
      </c>
      <c r="P243" s="792">
        <f t="shared" si="11"/>
        <v>0</v>
      </c>
    </row>
    <row r="244" spans="1:17">
      <c r="C244" s="788">
        <f>IF(D181="","-",+C243+1)</f>
        <v>2068</v>
      </c>
      <c r="D244" s="736">
        <f t="shared" si="16"/>
        <v>0</v>
      </c>
      <c r="E244" s="789">
        <f t="shared" si="14"/>
        <v>0</v>
      </c>
      <c r="F244" s="789">
        <f t="shared" si="8"/>
        <v>0</v>
      </c>
      <c r="G244" s="736">
        <f t="shared" si="13"/>
        <v>0</v>
      </c>
      <c r="H244" s="794">
        <f>+J182*G244+E244</f>
        <v>0</v>
      </c>
      <c r="I244" s="795">
        <f>+J183*G244+E244</f>
        <v>0</v>
      </c>
      <c r="J244" s="792">
        <f t="shared" si="15"/>
        <v>0</v>
      </c>
      <c r="K244" s="792"/>
      <c r="L244" s="812"/>
      <c r="M244" s="792">
        <f t="shared" si="9"/>
        <v>0</v>
      </c>
      <c r="N244" s="812"/>
      <c r="O244" s="792">
        <f t="shared" si="10"/>
        <v>0</v>
      </c>
      <c r="P244" s="792">
        <f t="shared" si="11"/>
        <v>0</v>
      </c>
    </row>
    <row r="245" spans="1:17">
      <c r="C245" s="788">
        <f>IF(D181="","-",+C244+1)</f>
        <v>2069</v>
      </c>
      <c r="D245" s="736">
        <f t="shared" si="16"/>
        <v>0</v>
      </c>
      <c r="E245" s="789">
        <f t="shared" si="14"/>
        <v>0</v>
      </c>
      <c r="F245" s="789">
        <f t="shared" si="8"/>
        <v>0</v>
      </c>
      <c r="G245" s="736">
        <f t="shared" si="13"/>
        <v>0</v>
      </c>
      <c r="H245" s="794">
        <f>+J182*G245+E245</f>
        <v>0</v>
      </c>
      <c r="I245" s="795">
        <f>+J183*G245+E245</f>
        <v>0</v>
      </c>
      <c r="J245" s="792">
        <f t="shared" si="15"/>
        <v>0</v>
      </c>
      <c r="K245" s="792"/>
      <c r="L245" s="812"/>
      <c r="M245" s="792">
        <f t="shared" si="9"/>
        <v>0</v>
      </c>
      <c r="N245" s="812"/>
      <c r="O245" s="792">
        <f t="shared" si="10"/>
        <v>0</v>
      </c>
      <c r="P245" s="792">
        <f t="shared" si="11"/>
        <v>0</v>
      </c>
    </row>
    <row r="246" spans="1:17" ht="13.5" thickBot="1">
      <c r="C246" s="798">
        <f>IF(D181="","-",+C245+1)</f>
        <v>2070</v>
      </c>
      <c r="D246" s="799">
        <f t="shared" si="16"/>
        <v>0</v>
      </c>
      <c r="E246" s="800">
        <f t="shared" si="14"/>
        <v>0</v>
      </c>
      <c r="F246" s="800">
        <f t="shared" si="8"/>
        <v>0</v>
      </c>
      <c r="G246" s="799">
        <f t="shared" si="13"/>
        <v>0</v>
      </c>
      <c r="H246" s="801">
        <f>+J182*G246+E246</f>
        <v>0</v>
      </c>
      <c r="I246" s="801">
        <f>+J183*G246+E246</f>
        <v>0</v>
      </c>
      <c r="J246" s="802">
        <f t="shared" si="15"/>
        <v>0</v>
      </c>
      <c r="K246" s="792"/>
      <c r="L246" s="813"/>
      <c r="M246" s="802">
        <f t="shared" si="9"/>
        <v>0</v>
      </c>
      <c r="N246" s="813"/>
      <c r="O246" s="802">
        <f t="shared" si="10"/>
        <v>0</v>
      </c>
      <c r="P246" s="802">
        <f t="shared" si="11"/>
        <v>0</v>
      </c>
    </row>
    <row r="247" spans="1:17">
      <c r="C247" s="736" t="s">
        <v>83</v>
      </c>
      <c r="D247" s="730"/>
      <c r="E247" s="730">
        <f>SUM(E187:E246)</f>
        <v>3473922.17</v>
      </c>
      <c r="F247" s="730"/>
      <c r="G247" s="730"/>
      <c r="H247" s="730">
        <f>SUM(H187:H246)</f>
        <v>12760830.912571281</v>
      </c>
      <c r="I247" s="730">
        <f>SUM(I187:I246)</f>
        <v>12760830.912571281</v>
      </c>
      <c r="J247" s="730">
        <f>SUM(J187:J246)</f>
        <v>0</v>
      </c>
      <c r="K247" s="730"/>
      <c r="L247" s="730"/>
      <c r="M247" s="730"/>
      <c r="N247" s="730"/>
      <c r="O247" s="730"/>
    </row>
    <row r="248" spans="1:17">
      <c r="D248" s="538"/>
      <c r="E248" s="313"/>
      <c r="F248" s="313"/>
      <c r="G248" s="313"/>
      <c r="H248" s="313"/>
      <c r="I248" s="708"/>
      <c r="J248" s="708"/>
      <c r="K248" s="730"/>
      <c r="L248" s="708"/>
      <c r="M248" s="708"/>
      <c r="N248" s="708"/>
      <c r="O248" s="708"/>
    </row>
    <row r="249" spans="1:17">
      <c r="C249" s="313" t="s">
        <v>13</v>
      </c>
      <c r="D249" s="538"/>
      <c r="E249" s="313"/>
      <c r="F249" s="313"/>
      <c r="G249" s="313"/>
      <c r="H249" s="313"/>
      <c r="I249" s="708"/>
      <c r="J249" s="708"/>
      <c r="K249" s="730"/>
      <c r="L249" s="708"/>
      <c r="M249" s="708"/>
      <c r="N249" s="708"/>
      <c r="O249" s="708"/>
    </row>
    <row r="250" spans="1:17">
      <c r="C250" s="313"/>
      <c r="D250" s="538"/>
      <c r="E250" s="313"/>
      <c r="F250" s="313"/>
      <c r="G250" s="313"/>
      <c r="H250" s="313"/>
      <c r="I250" s="708"/>
      <c r="J250" s="708"/>
      <c r="K250" s="730"/>
      <c r="L250" s="708"/>
      <c r="M250" s="708"/>
      <c r="N250" s="708"/>
      <c r="O250" s="708"/>
    </row>
    <row r="251" spans="1:17">
      <c r="C251" s="749" t="s">
        <v>14</v>
      </c>
      <c r="D251" s="736"/>
      <c r="E251" s="736"/>
      <c r="F251" s="736"/>
      <c r="G251" s="736"/>
      <c r="H251" s="730"/>
      <c r="I251" s="730"/>
      <c r="J251" s="804"/>
      <c r="K251" s="804"/>
      <c r="L251" s="804"/>
      <c r="M251" s="804"/>
      <c r="N251" s="804"/>
      <c r="O251" s="804"/>
    </row>
    <row r="252" spans="1:17">
      <c r="C252" s="735" t="s">
        <v>263</v>
      </c>
      <c r="D252" s="736"/>
      <c r="E252" s="736"/>
      <c r="F252" s="736"/>
      <c r="G252" s="736"/>
      <c r="H252" s="730"/>
      <c r="I252" s="730"/>
      <c r="J252" s="804"/>
      <c r="K252" s="804"/>
      <c r="L252" s="804"/>
      <c r="M252" s="804"/>
      <c r="N252" s="804"/>
      <c r="O252" s="804"/>
    </row>
    <row r="253" spans="1:17">
      <c r="C253" s="735" t="s">
        <v>84</v>
      </c>
      <c r="D253" s="736"/>
      <c r="E253" s="736"/>
      <c r="F253" s="736"/>
      <c r="G253" s="736"/>
      <c r="H253" s="730"/>
      <c r="I253" s="730"/>
      <c r="J253" s="804"/>
      <c r="K253" s="804"/>
      <c r="L253" s="804"/>
      <c r="M253" s="804"/>
      <c r="N253" s="804"/>
      <c r="O253" s="804"/>
    </row>
    <row r="256" spans="1:17" ht="20.25">
      <c r="A256" s="737" t="str">
        <f>""&amp;A181&amp;" Worksheet K -  ATRR TRUE-UP Calculation for PJM Projects Charged to Benefiting Zones"</f>
        <v xml:space="preserve"> Worksheet K -  ATRR TRUE-UP Calculation for PJM Projects Charged to Benefiting Zones</v>
      </c>
      <c r="B256" s="347"/>
      <c r="C256" s="725"/>
      <c r="D256" s="538"/>
      <c r="E256" s="313"/>
      <c r="F256" s="707"/>
      <c r="G256" s="707"/>
      <c r="H256" s="313"/>
      <c r="I256" s="708"/>
      <c r="L256" s="564"/>
      <c r="M256" s="564"/>
      <c r="N256" s="564"/>
      <c r="O256" s="653" t="str">
        <f>"Page "&amp;SUM(Q$8:Q256)&amp;" of "</f>
        <v xml:space="preserve">Page 4 of </v>
      </c>
      <c r="P256" s="654">
        <f>COUNT(Q$8:Q$57703)</f>
        <v>22</v>
      </c>
      <c r="Q256" s="655">
        <v>1</v>
      </c>
    </row>
    <row r="257" spans="2:16">
      <c r="B257" s="347"/>
      <c r="C257" s="313"/>
      <c r="D257" s="538"/>
      <c r="E257" s="313"/>
      <c r="F257" s="313"/>
      <c r="G257" s="313"/>
      <c r="H257" s="313"/>
      <c r="I257" s="708"/>
      <c r="J257" s="313"/>
      <c r="K257" s="426"/>
    </row>
    <row r="258" spans="2:16" ht="18">
      <c r="B258" s="657" t="s">
        <v>466</v>
      </c>
      <c r="C258" s="739" t="s">
        <v>85</v>
      </c>
      <c r="D258" s="538"/>
      <c r="E258" s="313"/>
      <c r="F258" s="313"/>
      <c r="G258" s="313"/>
      <c r="H258" s="313"/>
      <c r="I258" s="708"/>
      <c r="J258" s="708"/>
      <c r="K258" s="730"/>
      <c r="L258" s="708"/>
      <c r="M258" s="708"/>
      <c r="N258" s="708"/>
      <c r="O258" s="708"/>
    </row>
    <row r="259" spans="2:16" ht="18.75">
      <c r="B259" s="657"/>
      <c r="C259" s="656"/>
      <c r="D259" s="538"/>
      <c r="E259" s="313"/>
      <c r="F259" s="313"/>
      <c r="G259" s="313"/>
      <c r="H259" s="313"/>
      <c r="I259" s="708"/>
      <c r="J259" s="708"/>
      <c r="K259" s="730"/>
      <c r="L259" s="708"/>
      <c r="M259" s="708"/>
      <c r="N259" s="708"/>
      <c r="O259" s="708"/>
    </row>
    <row r="260" spans="2:16" ht="18.75">
      <c r="B260" s="657"/>
      <c r="C260" s="656" t="s">
        <v>86</v>
      </c>
      <c r="D260" s="538"/>
      <c r="E260" s="313"/>
      <c r="F260" s="313"/>
      <c r="G260" s="313"/>
      <c r="H260" s="313"/>
      <c r="I260" s="708"/>
      <c r="J260" s="708"/>
      <c r="K260" s="730"/>
      <c r="L260" s="708"/>
      <c r="M260" s="708"/>
      <c r="N260" s="708"/>
      <c r="O260" s="708"/>
    </row>
    <row r="261" spans="2:16" ht="15.75" thickBot="1">
      <c r="C261" s="239"/>
      <c r="D261" s="538"/>
      <c r="E261" s="313"/>
      <c r="F261" s="313"/>
      <c r="G261" s="313"/>
      <c r="H261" s="313"/>
      <c r="I261" s="708"/>
      <c r="J261" s="708"/>
      <c r="K261" s="730"/>
      <c r="L261" s="708"/>
      <c r="M261" s="708"/>
      <c r="N261" s="708"/>
      <c r="O261" s="708"/>
    </row>
    <row r="262" spans="2:16" ht="15.75">
      <c r="C262" s="659" t="s">
        <v>87</v>
      </c>
      <c r="D262" s="538"/>
      <c r="E262" s="313"/>
      <c r="F262" s="313"/>
      <c r="G262" s="313"/>
      <c r="H262" s="806"/>
      <c r="I262" s="313" t="s">
        <v>66</v>
      </c>
      <c r="J262" s="313"/>
      <c r="K262" s="426"/>
      <c r="L262" s="835">
        <f>+J268</f>
        <v>2023</v>
      </c>
      <c r="M262" s="816" t="s">
        <v>45</v>
      </c>
      <c r="N262" s="816" t="s">
        <v>46</v>
      </c>
      <c r="O262" s="817" t="s">
        <v>47</v>
      </c>
    </row>
    <row r="263" spans="2:16" ht="15.75">
      <c r="C263" s="659"/>
      <c r="D263" s="538"/>
      <c r="E263" s="313"/>
      <c r="F263" s="313"/>
      <c r="H263" s="313"/>
      <c r="I263" s="744"/>
      <c r="J263" s="744"/>
      <c r="K263" s="745"/>
      <c r="L263" s="836" t="s">
        <v>235</v>
      </c>
      <c r="M263" s="837">
        <f>VLOOKUP(J268,C275:P334,10)</f>
        <v>1163116.7349995445</v>
      </c>
      <c r="N263" s="837">
        <f>VLOOKUP(J268,C275:P334,12)</f>
        <v>1163116.7349995445</v>
      </c>
      <c r="O263" s="838">
        <f>+N263-M263</f>
        <v>0</v>
      </c>
    </row>
    <row r="264" spans="2:16" ht="12.95" customHeight="1">
      <c r="C264" s="749" t="s">
        <v>88</v>
      </c>
      <c r="D264" s="1537" t="s">
        <v>810</v>
      </c>
      <c r="E264" s="1537"/>
      <c r="F264" s="1537"/>
      <c r="G264" s="1537"/>
      <c r="H264" s="1537"/>
      <c r="I264" s="1537"/>
      <c r="J264" s="708"/>
      <c r="K264" s="730"/>
      <c r="L264" s="836" t="s">
        <v>236</v>
      </c>
      <c r="M264" s="839">
        <f>VLOOKUP(J268,C275:P334,6)</f>
        <v>1114220.4530856709</v>
      </c>
      <c r="N264" s="839">
        <f>VLOOKUP(J268,C275:P334,7)</f>
        <v>1114220.4530856709</v>
      </c>
      <c r="O264" s="840">
        <f>+N264-M264</f>
        <v>0</v>
      </c>
    </row>
    <row r="265" spans="2:16" ht="13.5" thickBot="1">
      <c r="C265" s="753"/>
      <c r="D265" s="754"/>
      <c r="E265" s="734"/>
      <c r="F265" s="734"/>
      <c r="G265" s="734"/>
      <c r="H265" s="755"/>
      <c r="I265" s="708"/>
      <c r="J265" s="708"/>
      <c r="K265" s="730"/>
      <c r="L265" s="772" t="s">
        <v>237</v>
      </c>
      <c r="M265" s="841">
        <f>+M264-M263</f>
        <v>-48896.281913873507</v>
      </c>
      <c r="N265" s="841">
        <f>+N264-N263</f>
        <v>-48896.281913873507</v>
      </c>
      <c r="O265" s="842">
        <f>+O264-O263</f>
        <v>0</v>
      </c>
    </row>
    <row r="266" spans="2:16" ht="13.5" thickBot="1">
      <c r="C266" s="756"/>
      <c r="D266" s="757"/>
      <c r="E266" s="755"/>
      <c r="F266" s="755"/>
      <c r="G266" s="755"/>
      <c r="H266" s="755"/>
      <c r="I266" s="755"/>
      <c r="J266" s="755"/>
      <c r="K266" s="758"/>
      <c r="L266" s="755"/>
      <c r="M266" s="755"/>
      <c r="N266" s="755"/>
      <c r="O266" s="755"/>
      <c r="P266" s="347"/>
    </row>
    <row r="267" spans="2:16" ht="13.5" thickBot="1">
      <c r="C267" s="759" t="s">
        <v>89</v>
      </c>
      <c r="D267" s="760"/>
      <c r="E267" s="760"/>
      <c r="F267" s="760"/>
      <c r="G267" s="760"/>
      <c r="H267" s="760"/>
      <c r="I267" s="760"/>
      <c r="J267" s="760"/>
      <c r="K267" s="762"/>
      <c r="P267" s="763"/>
    </row>
    <row r="268" spans="2:16" ht="15">
      <c r="C268" s="764" t="s">
        <v>67</v>
      </c>
      <c r="D268" s="808">
        <v>8345674.5300000003</v>
      </c>
      <c r="E268" s="725" t="s">
        <v>68</v>
      </c>
      <c r="H268" s="765"/>
      <c r="I268" s="765"/>
      <c r="J268" s="766">
        <f>$J$93</f>
        <v>2023</v>
      </c>
      <c r="K268" s="554"/>
      <c r="L268" s="1536" t="s">
        <v>69</v>
      </c>
      <c r="M268" s="1536"/>
      <c r="N268" s="1536"/>
      <c r="O268" s="1536"/>
      <c r="P268" s="426"/>
    </row>
    <row r="269" spans="2:16">
      <c r="C269" s="764" t="s">
        <v>70</v>
      </c>
      <c r="D269" s="809">
        <v>2013</v>
      </c>
      <c r="E269" s="764" t="s">
        <v>71</v>
      </c>
      <c r="F269" s="765"/>
      <c r="G269" s="765"/>
      <c r="I269" s="172"/>
      <c r="J269" s="810">
        <f>IF(H262="",0,$F$17)</f>
        <v>0</v>
      </c>
      <c r="K269" s="767"/>
      <c r="L269" s="730" t="s">
        <v>277</v>
      </c>
      <c r="P269" s="426"/>
    </row>
    <row r="270" spans="2:16">
      <c r="C270" s="764" t="s">
        <v>72</v>
      </c>
      <c r="D270" s="808">
        <v>11</v>
      </c>
      <c r="E270" s="764" t="s">
        <v>73</v>
      </c>
      <c r="F270" s="765"/>
      <c r="G270" s="765"/>
      <c r="I270" s="172"/>
      <c r="J270" s="768">
        <f>$F$70</f>
        <v>0.14450383244078713</v>
      </c>
      <c r="K270" s="769"/>
      <c r="L270" s="313" t="str">
        <f>"          INPUT TRUE-UP ARR (WITH &amp; WITHOUT INCENTIVES) FROM EACH PRIOR YEAR"</f>
        <v xml:space="preserve">          INPUT TRUE-UP ARR (WITH &amp; WITHOUT INCENTIVES) FROM EACH PRIOR YEAR</v>
      </c>
      <c r="P270" s="426"/>
    </row>
    <row r="271" spans="2:16">
      <c r="C271" s="764" t="s">
        <v>74</v>
      </c>
      <c r="D271" s="770">
        <f>H$79</f>
        <v>35</v>
      </c>
      <c r="E271" s="764" t="s">
        <v>75</v>
      </c>
      <c r="F271" s="765"/>
      <c r="G271" s="765"/>
      <c r="I271" s="172"/>
      <c r="J271" s="768">
        <f>IF(H262="",+J270,$F$69)</f>
        <v>0.14450383244078713</v>
      </c>
      <c r="K271" s="771"/>
      <c r="L271" s="313" t="s">
        <v>157</v>
      </c>
      <c r="M271" s="771"/>
      <c r="N271" s="771"/>
      <c r="O271" s="771"/>
      <c r="P271" s="426"/>
    </row>
    <row r="272" spans="2:16" ht="13.5" thickBot="1">
      <c r="C272" s="764" t="s">
        <v>76</v>
      </c>
      <c r="D272" s="807" t="s">
        <v>808</v>
      </c>
      <c r="E272" s="772" t="s">
        <v>77</v>
      </c>
      <c r="F272" s="773"/>
      <c r="G272" s="773"/>
      <c r="H272" s="774"/>
      <c r="I272" s="774"/>
      <c r="J272" s="752">
        <f>IF(D268=0,0,D268/D271)</f>
        <v>238447.84371428573</v>
      </c>
      <c r="K272" s="730"/>
      <c r="L272" s="730" t="s">
        <v>158</v>
      </c>
      <c r="M272" s="730"/>
      <c r="N272" s="730"/>
      <c r="O272" s="730"/>
      <c r="P272" s="426"/>
    </row>
    <row r="273" spans="2:16" ht="38.25">
      <c r="B273" s="845"/>
      <c r="C273" s="775" t="s">
        <v>67</v>
      </c>
      <c r="D273" s="776" t="s">
        <v>78</v>
      </c>
      <c r="E273" s="777" t="s">
        <v>79</v>
      </c>
      <c r="F273" s="776" t="s">
        <v>80</v>
      </c>
      <c r="G273" s="776" t="s">
        <v>238</v>
      </c>
      <c r="H273" s="777" t="s">
        <v>151</v>
      </c>
      <c r="I273" s="778" t="s">
        <v>151</v>
      </c>
      <c r="J273" s="775" t="s">
        <v>90</v>
      </c>
      <c r="K273" s="779"/>
      <c r="L273" s="777" t="s">
        <v>153</v>
      </c>
      <c r="M273" s="777" t="s">
        <v>159</v>
      </c>
      <c r="N273" s="777" t="s">
        <v>153</v>
      </c>
      <c r="O273" s="777" t="s">
        <v>161</v>
      </c>
      <c r="P273" s="777" t="s">
        <v>81</v>
      </c>
    </row>
    <row r="274" spans="2:16" ht="13.5" thickBot="1">
      <c r="C274" s="781" t="s">
        <v>469</v>
      </c>
      <c r="D274" s="782" t="s">
        <v>470</v>
      </c>
      <c r="E274" s="781" t="s">
        <v>363</v>
      </c>
      <c r="F274" s="782" t="s">
        <v>470</v>
      </c>
      <c r="G274" s="782" t="s">
        <v>470</v>
      </c>
      <c r="H274" s="783" t="s">
        <v>93</v>
      </c>
      <c r="I274" s="784" t="s">
        <v>95</v>
      </c>
      <c r="J274" s="785" t="s">
        <v>15</v>
      </c>
      <c r="K274" s="786"/>
      <c r="L274" s="783" t="s">
        <v>82</v>
      </c>
      <c r="M274" s="783" t="s">
        <v>82</v>
      </c>
      <c r="N274" s="783" t="s">
        <v>255</v>
      </c>
      <c r="O274" s="783" t="s">
        <v>255</v>
      </c>
      <c r="P274" s="783" t="s">
        <v>255</v>
      </c>
    </row>
    <row r="275" spans="2:16">
      <c r="C275" s="788">
        <f>IF(D269= "","-",D269)</f>
        <v>2013</v>
      </c>
      <c r="D275" s="736">
        <f>+D268</f>
        <v>8345674.5300000003</v>
      </c>
      <c r="E275" s="794">
        <f>+J272/12*(12-D270)</f>
        <v>19870.653642857145</v>
      </c>
      <c r="F275" s="843">
        <f t="shared" ref="F275:F334" si="17">+D275-E275</f>
        <v>8325803.8763571428</v>
      </c>
      <c r="G275" s="736">
        <f>+(D275+F275)/2</f>
        <v>8335739.2031785715</v>
      </c>
      <c r="H275" s="790">
        <f>+J270*G275+E275</f>
        <v>1224416.9147290739</v>
      </c>
      <c r="I275" s="791">
        <f>+J271*G275+E275</f>
        <v>1224416.9147290739</v>
      </c>
      <c r="J275" s="792">
        <f>+I275-H275</f>
        <v>0</v>
      </c>
      <c r="K275" s="792"/>
      <c r="L275" s="811">
        <v>443007</v>
      </c>
      <c r="M275" s="844">
        <f t="shared" ref="M275:M334" si="18">IF(L275&lt;&gt;0,+H275-L275,0)</f>
        <v>781409.91472907388</v>
      </c>
      <c r="N275" s="811">
        <v>443007</v>
      </c>
      <c r="O275" s="844">
        <f t="shared" ref="O275:O334" si="19">IF(N275&lt;&gt;0,+I275-N275,0)</f>
        <v>781409.91472907388</v>
      </c>
      <c r="P275" s="844">
        <f t="shared" ref="P275:P334" si="20">+O275-M275</f>
        <v>0</v>
      </c>
    </row>
    <row r="276" spans="2:16">
      <c r="C276" s="788">
        <f>IF(D269="","-",+C275+1)</f>
        <v>2014</v>
      </c>
      <c r="D276" s="736">
        <f t="shared" ref="D276:D328" si="21">F275</f>
        <v>8325803.8763571428</v>
      </c>
      <c r="E276" s="789">
        <f>IF(D276&gt;$J$272,$J$272,D276)</f>
        <v>238447.84371428573</v>
      </c>
      <c r="F276" s="789">
        <f t="shared" si="17"/>
        <v>8087356.0326428572</v>
      </c>
      <c r="G276" s="736">
        <f t="shared" ref="G276:G334" si="22">+(D276+F276)/2</f>
        <v>8206579.9545</v>
      </c>
      <c r="H276" s="794">
        <f>+J270*G276+E276</f>
        <v>1424330.0983712762</v>
      </c>
      <c r="I276" s="795">
        <f>+J271*G276+E276</f>
        <v>1424330.0983712762</v>
      </c>
      <c r="J276" s="792">
        <f>+I276-H276</f>
        <v>0</v>
      </c>
      <c r="K276" s="792"/>
      <c r="L276" s="812">
        <v>964332</v>
      </c>
      <c r="M276" s="792">
        <f t="shared" si="18"/>
        <v>459998.09837127617</v>
      </c>
      <c r="N276" s="812">
        <v>964332</v>
      </c>
      <c r="O276" s="792">
        <f t="shared" si="19"/>
        <v>459998.09837127617</v>
      </c>
      <c r="P276" s="792">
        <f t="shared" si="20"/>
        <v>0</v>
      </c>
    </row>
    <row r="277" spans="2:16">
      <c r="C277" s="788">
        <f>IF(D269="","-",+C276+1)</f>
        <v>2015</v>
      </c>
      <c r="D277" s="736">
        <f t="shared" si="21"/>
        <v>8087356.0326428572</v>
      </c>
      <c r="E277" s="789">
        <f t="shared" ref="E277:E334" si="23">IF(D277&gt;$J$272,$J$272,D277)</f>
        <v>238447.84371428573</v>
      </c>
      <c r="F277" s="789">
        <f t="shared" si="17"/>
        <v>7848908.1889285715</v>
      </c>
      <c r="G277" s="736">
        <f t="shared" si="22"/>
        <v>7968132.1107857144</v>
      </c>
      <c r="H277" s="794">
        <f>+J270*G277+E277</f>
        <v>1389873.47111732</v>
      </c>
      <c r="I277" s="795">
        <f>+J271*G277+E277</f>
        <v>1389873.47111732</v>
      </c>
      <c r="J277" s="792">
        <f t="shared" ref="J277:J334" si="24">+I277-H277</f>
        <v>0</v>
      </c>
      <c r="K277" s="792"/>
      <c r="L277" s="812">
        <v>1065163</v>
      </c>
      <c r="M277" s="792">
        <f t="shared" si="18"/>
        <v>324710.47111732</v>
      </c>
      <c r="N277" s="812">
        <v>1065163</v>
      </c>
      <c r="O277" s="792">
        <f t="shared" si="19"/>
        <v>324710.47111732</v>
      </c>
      <c r="P277" s="792">
        <f t="shared" si="20"/>
        <v>0</v>
      </c>
    </row>
    <row r="278" spans="2:16">
      <c r="C278" s="788">
        <f>IF(D269="","-",+C277+1)</f>
        <v>2016</v>
      </c>
      <c r="D278" s="736">
        <f t="shared" si="21"/>
        <v>7848908.1889285715</v>
      </c>
      <c r="E278" s="789">
        <f t="shared" si="23"/>
        <v>238447.84371428573</v>
      </c>
      <c r="F278" s="789">
        <f t="shared" si="17"/>
        <v>7610460.3452142859</v>
      </c>
      <c r="G278" s="736">
        <f t="shared" si="22"/>
        <v>7729684.2670714287</v>
      </c>
      <c r="H278" s="794">
        <f>+J270*G278+E278</f>
        <v>1355416.8438633638</v>
      </c>
      <c r="I278" s="795">
        <f>+J271*G278+E278</f>
        <v>1355416.8438633638</v>
      </c>
      <c r="J278" s="792">
        <f t="shared" si="24"/>
        <v>0</v>
      </c>
      <c r="K278" s="792"/>
      <c r="L278" s="812">
        <v>1173750</v>
      </c>
      <c r="M278" s="792">
        <f t="shared" si="18"/>
        <v>181666.84386336384</v>
      </c>
      <c r="N278" s="812">
        <v>1173750</v>
      </c>
      <c r="O278" s="792">
        <f t="shared" si="19"/>
        <v>181666.84386336384</v>
      </c>
      <c r="P278" s="792">
        <f t="shared" si="20"/>
        <v>0</v>
      </c>
    </row>
    <row r="279" spans="2:16">
      <c r="C279" s="788">
        <f>IF(D269="","-",+C278+1)</f>
        <v>2017</v>
      </c>
      <c r="D279" s="736">
        <f t="shared" si="21"/>
        <v>7610460.3452142859</v>
      </c>
      <c r="E279" s="789">
        <f t="shared" si="23"/>
        <v>238447.84371428573</v>
      </c>
      <c r="F279" s="789">
        <f t="shared" si="17"/>
        <v>7372012.5015000002</v>
      </c>
      <c r="G279" s="736">
        <f t="shared" si="22"/>
        <v>7491236.4233571431</v>
      </c>
      <c r="H279" s="794">
        <f>+J270*G279+E279</f>
        <v>1320960.2166094077</v>
      </c>
      <c r="I279" s="795">
        <f>+J271*G279+E279</f>
        <v>1320960.2166094077</v>
      </c>
      <c r="J279" s="792">
        <f t="shared" si="24"/>
        <v>0</v>
      </c>
      <c r="K279" s="792"/>
      <c r="L279" s="812">
        <v>1404427</v>
      </c>
      <c r="M279" s="792">
        <f t="shared" si="18"/>
        <v>-83466.783390592318</v>
      </c>
      <c r="N279" s="812">
        <v>1404427</v>
      </c>
      <c r="O279" s="792">
        <f t="shared" si="19"/>
        <v>-83466.783390592318</v>
      </c>
      <c r="P279" s="792">
        <f t="shared" si="20"/>
        <v>0</v>
      </c>
    </row>
    <row r="280" spans="2:16">
      <c r="C280" s="788">
        <f>IF(D269="","-",+C279+1)</f>
        <v>2018</v>
      </c>
      <c r="D280" s="1402">
        <f t="shared" si="21"/>
        <v>7372012.5015000002</v>
      </c>
      <c r="E280" s="789">
        <f t="shared" si="23"/>
        <v>238447.84371428573</v>
      </c>
      <c r="F280" s="789">
        <f t="shared" si="17"/>
        <v>7133564.6577857146</v>
      </c>
      <c r="G280" s="736">
        <f t="shared" si="22"/>
        <v>7252788.5796428574</v>
      </c>
      <c r="H280" s="794">
        <f>+J270*G280+E280</f>
        <v>1286503.5893554515</v>
      </c>
      <c r="I280" s="795">
        <f>+J271*G280+E280</f>
        <v>1286503.5893554515</v>
      </c>
      <c r="J280" s="792">
        <f t="shared" si="24"/>
        <v>0</v>
      </c>
      <c r="K280" s="792"/>
      <c r="L280" s="812">
        <v>1247990</v>
      </c>
      <c r="M280" s="792">
        <f t="shared" si="18"/>
        <v>38513.589355451521</v>
      </c>
      <c r="N280" s="812">
        <v>1247990</v>
      </c>
      <c r="O280" s="792">
        <f t="shared" si="19"/>
        <v>38513.589355451521</v>
      </c>
      <c r="P280" s="792">
        <f t="shared" si="20"/>
        <v>0</v>
      </c>
    </row>
    <row r="281" spans="2:16">
      <c r="C281" s="788">
        <f>IF(D269="","-",+C280+1)</f>
        <v>2019</v>
      </c>
      <c r="D281" s="1321">
        <f t="shared" si="21"/>
        <v>7133564.6577857146</v>
      </c>
      <c r="E281" s="789">
        <f t="shared" si="23"/>
        <v>238447.84371428573</v>
      </c>
      <c r="F281" s="789">
        <f t="shared" si="17"/>
        <v>6895116.814071429</v>
      </c>
      <c r="G281" s="736">
        <f t="shared" si="22"/>
        <v>7014340.7359285718</v>
      </c>
      <c r="H281" s="794">
        <f>+J270*G281+E281</f>
        <v>1252046.9621014956</v>
      </c>
      <c r="I281" s="795">
        <f>+J271*G281+E281</f>
        <v>1252046.9621014956</v>
      </c>
      <c r="J281" s="792">
        <f t="shared" si="24"/>
        <v>0</v>
      </c>
      <c r="K281" s="792"/>
      <c r="L281" s="812">
        <v>1276918.4756604563</v>
      </c>
      <c r="M281" s="792">
        <f t="shared" si="18"/>
        <v>-24871.513558960753</v>
      </c>
      <c r="N281" s="812">
        <v>1276918.4756604563</v>
      </c>
      <c r="O281" s="792">
        <f t="shared" si="19"/>
        <v>-24871.513558960753</v>
      </c>
      <c r="P281" s="792">
        <f t="shared" si="20"/>
        <v>0</v>
      </c>
    </row>
    <row r="282" spans="2:16">
      <c r="C282" s="788">
        <f>IF(D269="","-",+C281+1)</f>
        <v>2020</v>
      </c>
      <c r="D282" s="1321">
        <f t="shared" si="21"/>
        <v>6895116.814071429</v>
      </c>
      <c r="E282" s="789">
        <f t="shared" si="23"/>
        <v>238447.84371428573</v>
      </c>
      <c r="F282" s="789">
        <f t="shared" si="17"/>
        <v>6656668.9703571433</v>
      </c>
      <c r="G282" s="736">
        <f t="shared" si="22"/>
        <v>6775892.8922142861</v>
      </c>
      <c r="H282" s="794">
        <f>+J270*G282+E282</f>
        <v>1217590.3348475394</v>
      </c>
      <c r="I282" s="795">
        <f>+J271*G282+E282</f>
        <v>1217590.3348475394</v>
      </c>
      <c r="J282" s="792">
        <f t="shared" si="24"/>
        <v>0</v>
      </c>
      <c r="K282" s="792"/>
      <c r="L282" s="812">
        <v>1334246.8269181957</v>
      </c>
      <c r="M282" s="792">
        <f t="shared" si="18"/>
        <v>-116656.49207065627</v>
      </c>
      <c r="N282" s="812">
        <v>1334246.8269181957</v>
      </c>
      <c r="O282" s="792">
        <f t="shared" si="19"/>
        <v>-116656.49207065627</v>
      </c>
      <c r="P282" s="792">
        <f t="shared" si="20"/>
        <v>0</v>
      </c>
    </row>
    <row r="283" spans="2:16">
      <c r="C283" s="788">
        <f>IF(D269="","-",+C282+1)</f>
        <v>2021</v>
      </c>
      <c r="D283" s="736">
        <f t="shared" si="21"/>
        <v>6656668.9703571433</v>
      </c>
      <c r="E283" s="789">
        <f t="shared" si="23"/>
        <v>238447.84371428573</v>
      </c>
      <c r="F283" s="789">
        <f t="shared" si="17"/>
        <v>6418221.1266428577</v>
      </c>
      <c r="G283" s="736">
        <f t="shared" si="22"/>
        <v>6537445.0485000005</v>
      </c>
      <c r="H283" s="794">
        <f>+J270*G283+E283</f>
        <v>1183133.7075935833</v>
      </c>
      <c r="I283" s="795">
        <f>+J271*G283+E283</f>
        <v>1183133.7075935833</v>
      </c>
      <c r="J283" s="792">
        <f t="shared" si="24"/>
        <v>0</v>
      </c>
      <c r="K283" s="792"/>
      <c r="L283" s="812">
        <v>1200102.0351284449</v>
      </c>
      <c r="M283" s="792">
        <f t="shared" si="18"/>
        <v>-16968.32753486163</v>
      </c>
      <c r="N283" s="812">
        <v>1200102.0351284449</v>
      </c>
      <c r="O283" s="792">
        <f t="shared" si="19"/>
        <v>-16968.32753486163</v>
      </c>
      <c r="P283" s="792">
        <f t="shared" si="20"/>
        <v>0</v>
      </c>
    </row>
    <row r="284" spans="2:16">
      <c r="C284" s="788">
        <f>IF(D269="","-",+C283+1)</f>
        <v>2022</v>
      </c>
      <c r="D284" s="736">
        <f t="shared" si="21"/>
        <v>6418221.1266428577</v>
      </c>
      <c r="E284" s="789">
        <f t="shared" si="23"/>
        <v>238447.84371428573</v>
      </c>
      <c r="F284" s="789">
        <f t="shared" si="17"/>
        <v>6179773.282928572</v>
      </c>
      <c r="G284" s="736">
        <f t="shared" si="22"/>
        <v>6298997.2047857149</v>
      </c>
      <c r="H284" s="794">
        <f>+J270*G284+E284</f>
        <v>1148677.0803396271</v>
      </c>
      <c r="I284" s="795">
        <f>+J271*G284+E284</f>
        <v>1148677.0803396271</v>
      </c>
      <c r="J284" s="792">
        <f t="shared" si="24"/>
        <v>0</v>
      </c>
      <c r="K284" s="792"/>
      <c r="L284" s="812">
        <v>1195931.704278951</v>
      </c>
      <c r="M284" s="792">
        <f t="shared" si="18"/>
        <v>-47254.623939323938</v>
      </c>
      <c r="N284" s="812">
        <v>1195931.704278951</v>
      </c>
      <c r="O284" s="792">
        <f t="shared" si="19"/>
        <v>-47254.623939323938</v>
      </c>
      <c r="P284" s="792">
        <f t="shared" si="20"/>
        <v>0</v>
      </c>
    </row>
    <row r="285" spans="2:16">
      <c r="C285" s="788">
        <f>IF(D269="","-",+C284+1)</f>
        <v>2023</v>
      </c>
      <c r="D285" s="736">
        <f t="shared" si="21"/>
        <v>6179773.282928572</v>
      </c>
      <c r="E285" s="789">
        <f t="shared" si="23"/>
        <v>238447.84371428573</v>
      </c>
      <c r="F285" s="789">
        <f t="shared" si="17"/>
        <v>5941325.4392142864</v>
      </c>
      <c r="G285" s="736">
        <f t="shared" si="22"/>
        <v>6060549.3610714292</v>
      </c>
      <c r="H285" s="794">
        <f>+J270*G285+E285</f>
        <v>1114220.4530856709</v>
      </c>
      <c r="I285" s="795">
        <f>+J271*G285+E285</f>
        <v>1114220.4530856709</v>
      </c>
      <c r="J285" s="792">
        <f t="shared" si="24"/>
        <v>0</v>
      </c>
      <c r="K285" s="792"/>
      <c r="L285" s="812">
        <v>1163116.7349995445</v>
      </c>
      <c r="M285" s="792">
        <f t="shared" si="18"/>
        <v>-48896.281913873507</v>
      </c>
      <c r="N285" s="812">
        <v>1163116.7349995445</v>
      </c>
      <c r="O285" s="792">
        <f t="shared" si="19"/>
        <v>-48896.281913873507</v>
      </c>
      <c r="P285" s="792">
        <f t="shared" si="20"/>
        <v>0</v>
      </c>
    </row>
    <row r="286" spans="2:16">
      <c r="C286" s="788">
        <f>IF(D269="","-",+C285+1)</f>
        <v>2024</v>
      </c>
      <c r="D286" s="736">
        <f t="shared" si="21"/>
        <v>5941325.4392142864</v>
      </c>
      <c r="E286" s="789">
        <f t="shared" si="23"/>
        <v>238447.84371428573</v>
      </c>
      <c r="F286" s="789">
        <f t="shared" si="17"/>
        <v>5702877.5955000008</v>
      </c>
      <c r="G286" s="736">
        <f t="shared" si="22"/>
        <v>5822101.5173571436</v>
      </c>
      <c r="H286" s="794">
        <f>+J270*G286+E286</f>
        <v>1079763.8258317148</v>
      </c>
      <c r="I286" s="795">
        <f>+J271*G286+E286</f>
        <v>1079763.8258317148</v>
      </c>
      <c r="J286" s="792">
        <f t="shared" si="24"/>
        <v>0</v>
      </c>
      <c r="K286" s="792"/>
      <c r="L286" s="812"/>
      <c r="M286" s="792">
        <f t="shared" si="18"/>
        <v>0</v>
      </c>
      <c r="N286" s="812"/>
      <c r="O286" s="792">
        <f t="shared" si="19"/>
        <v>0</v>
      </c>
      <c r="P286" s="792">
        <f t="shared" si="20"/>
        <v>0</v>
      </c>
    </row>
    <row r="287" spans="2:16">
      <c r="C287" s="788">
        <f>IF(D269="","-",+C286+1)</f>
        <v>2025</v>
      </c>
      <c r="D287" s="736">
        <f t="shared" si="21"/>
        <v>5702877.5955000008</v>
      </c>
      <c r="E287" s="789">
        <f t="shared" si="23"/>
        <v>238447.84371428573</v>
      </c>
      <c r="F287" s="789">
        <f t="shared" si="17"/>
        <v>5464429.7517857151</v>
      </c>
      <c r="G287" s="736">
        <f t="shared" si="22"/>
        <v>5583653.6736428579</v>
      </c>
      <c r="H287" s="794">
        <f>+J270*G287+E287</f>
        <v>1045307.1985777587</v>
      </c>
      <c r="I287" s="795">
        <f>+J271*G287+E287</f>
        <v>1045307.1985777587</v>
      </c>
      <c r="J287" s="792">
        <f t="shared" si="24"/>
        <v>0</v>
      </c>
      <c r="K287" s="792"/>
      <c r="L287" s="812"/>
      <c r="M287" s="792">
        <f t="shared" si="18"/>
        <v>0</v>
      </c>
      <c r="N287" s="812"/>
      <c r="O287" s="792">
        <f t="shared" si="19"/>
        <v>0</v>
      </c>
      <c r="P287" s="792">
        <f t="shared" si="20"/>
        <v>0</v>
      </c>
    </row>
    <row r="288" spans="2:16">
      <c r="C288" s="788">
        <f>IF(D269="","-",+C287+1)</f>
        <v>2026</v>
      </c>
      <c r="D288" s="736">
        <f t="shared" si="21"/>
        <v>5464429.7517857151</v>
      </c>
      <c r="E288" s="789">
        <f t="shared" si="23"/>
        <v>238447.84371428573</v>
      </c>
      <c r="F288" s="789">
        <f t="shared" si="17"/>
        <v>5225981.9080714295</v>
      </c>
      <c r="G288" s="736">
        <f t="shared" si="22"/>
        <v>5345205.8299285723</v>
      </c>
      <c r="H288" s="794">
        <f>+J270*G288+E288</f>
        <v>1010850.5713238027</v>
      </c>
      <c r="I288" s="795">
        <f>+J271*G288+E288</f>
        <v>1010850.5713238027</v>
      </c>
      <c r="J288" s="792">
        <f t="shared" si="24"/>
        <v>0</v>
      </c>
      <c r="K288" s="792"/>
      <c r="L288" s="812"/>
      <c r="M288" s="792">
        <f t="shared" si="18"/>
        <v>0</v>
      </c>
      <c r="N288" s="812"/>
      <c r="O288" s="792">
        <f t="shared" si="19"/>
        <v>0</v>
      </c>
      <c r="P288" s="792">
        <f t="shared" si="20"/>
        <v>0</v>
      </c>
    </row>
    <row r="289" spans="3:16">
      <c r="C289" s="788">
        <f>IF(D269="","-",+C288+1)</f>
        <v>2027</v>
      </c>
      <c r="D289" s="736">
        <f t="shared" si="21"/>
        <v>5225981.9080714295</v>
      </c>
      <c r="E289" s="789">
        <f t="shared" si="23"/>
        <v>238447.84371428573</v>
      </c>
      <c r="F289" s="789">
        <f t="shared" si="17"/>
        <v>4987534.0643571438</v>
      </c>
      <c r="G289" s="736">
        <f t="shared" si="22"/>
        <v>5106757.9862142866</v>
      </c>
      <c r="H289" s="794">
        <f>+J270*G289+E289</f>
        <v>976393.94406984653</v>
      </c>
      <c r="I289" s="795">
        <f>+J271*G289+E289</f>
        <v>976393.94406984653</v>
      </c>
      <c r="J289" s="792">
        <f t="shared" si="24"/>
        <v>0</v>
      </c>
      <c r="K289" s="792"/>
      <c r="L289" s="812"/>
      <c r="M289" s="792">
        <f t="shared" si="18"/>
        <v>0</v>
      </c>
      <c r="N289" s="812"/>
      <c r="O289" s="792">
        <f t="shared" si="19"/>
        <v>0</v>
      </c>
      <c r="P289" s="792">
        <f t="shared" si="20"/>
        <v>0</v>
      </c>
    </row>
    <row r="290" spans="3:16">
      <c r="C290" s="788">
        <f>IF(D269="","-",+C289+1)</f>
        <v>2028</v>
      </c>
      <c r="D290" s="736">
        <f t="shared" si="21"/>
        <v>4987534.0643571438</v>
      </c>
      <c r="E290" s="789">
        <f t="shared" si="23"/>
        <v>238447.84371428573</v>
      </c>
      <c r="F290" s="789">
        <f t="shared" si="17"/>
        <v>4749086.2206428582</v>
      </c>
      <c r="G290" s="736">
        <f t="shared" si="22"/>
        <v>4868310.142500001</v>
      </c>
      <c r="H290" s="794">
        <f>+J270*G290+E290</f>
        <v>941937.31681589037</v>
      </c>
      <c r="I290" s="795">
        <f>+J271*G290+E290</f>
        <v>941937.31681589037</v>
      </c>
      <c r="J290" s="792">
        <f t="shared" si="24"/>
        <v>0</v>
      </c>
      <c r="K290" s="792"/>
      <c r="L290" s="812"/>
      <c r="M290" s="792">
        <f t="shared" si="18"/>
        <v>0</v>
      </c>
      <c r="N290" s="812"/>
      <c r="O290" s="792">
        <f t="shared" si="19"/>
        <v>0</v>
      </c>
      <c r="P290" s="792">
        <f t="shared" si="20"/>
        <v>0</v>
      </c>
    </row>
    <row r="291" spans="3:16">
      <c r="C291" s="788">
        <f>IF(D269="","-",+C290+1)</f>
        <v>2029</v>
      </c>
      <c r="D291" s="736">
        <f t="shared" si="21"/>
        <v>4749086.2206428582</v>
      </c>
      <c r="E291" s="789">
        <f t="shared" si="23"/>
        <v>238447.84371428573</v>
      </c>
      <c r="F291" s="789">
        <f t="shared" si="17"/>
        <v>4510638.3769285725</v>
      </c>
      <c r="G291" s="736">
        <f t="shared" si="22"/>
        <v>4629862.2987857154</v>
      </c>
      <c r="H291" s="794">
        <f>+J270*G291+E291</f>
        <v>907480.68956193433</v>
      </c>
      <c r="I291" s="795">
        <f>+J271*G291+E291</f>
        <v>907480.68956193433</v>
      </c>
      <c r="J291" s="792">
        <f t="shared" si="24"/>
        <v>0</v>
      </c>
      <c r="K291" s="792"/>
      <c r="L291" s="812"/>
      <c r="M291" s="792">
        <f t="shared" si="18"/>
        <v>0</v>
      </c>
      <c r="N291" s="812"/>
      <c r="O291" s="792">
        <f t="shared" si="19"/>
        <v>0</v>
      </c>
      <c r="P291" s="792">
        <f t="shared" si="20"/>
        <v>0</v>
      </c>
    </row>
    <row r="292" spans="3:16">
      <c r="C292" s="788">
        <f>IF(D269="","-",+C291+1)</f>
        <v>2030</v>
      </c>
      <c r="D292" s="736">
        <f t="shared" si="21"/>
        <v>4510638.3769285725</v>
      </c>
      <c r="E292" s="789">
        <f t="shared" si="23"/>
        <v>238447.84371428573</v>
      </c>
      <c r="F292" s="789">
        <f t="shared" si="17"/>
        <v>4272190.5332142869</v>
      </c>
      <c r="G292" s="736">
        <f t="shared" si="22"/>
        <v>4391414.4550714297</v>
      </c>
      <c r="H292" s="794">
        <f>+J270*G292+E292</f>
        <v>873024.06230797817</v>
      </c>
      <c r="I292" s="795">
        <f>+J271*G292+E292</f>
        <v>873024.06230797817</v>
      </c>
      <c r="J292" s="792">
        <f t="shared" si="24"/>
        <v>0</v>
      </c>
      <c r="K292" s="792"/>
      <c r="L292" s="812"/>
      <c r="M292" s="792">
        <f t="shared" si="18"/>
        <v>0</v>
      </c>
      <c r="N292" s="812"/>
      <c r="O292" s="792">
        <f t="shared" si="19"/>
        <v>0</v>
      </c>
      <c r="P292" s="792">
        <f t="shared" si="20"/>
        <v>0</v>
      </c>
    </row>
    <row r="293" spans="3:16">
      <c r="C293" s="788">
        <f>IF(D269="","-",+C292+1)</f>
        <v>2031</v>
      </c>
      <c r="D293" s="736">
        <f t="shared" si="21"/>
        <v>4272190.5332142869</v>
      </c>
      <c r="E293" s="789">
        <f t="shared" si="23"/>
        <v>238447.84371428573</v>
      </c>
      <c r="F293" s="789">
        <f t="shared" si="17"/>
        <v>4033742.6895000013</v>
      </c>
      <c r="G293" s="736">
        <f t="shared" si="22"/>
        <v>4152966.6113571441</v>
      </c>
      <c r="H293" s="794">
        <f>+J270*G293+E293</f>
        <v>838567.435054022</v>
      </c>
      <c r="I293" s="795">
        <f>+J271*G293+E293</f>
        <v>838567.435054022</v>
      </c>
      <c r="J293" s="792">
        <f t="shared" si="24"/>
        <v>0</v>
      </c>
      <c r="K293" s="792"/>
      <c r="L293" s="812"/>
      <c r="M293" s="792">
        <f t="shared" si="18"/>
        <v>0</v>
      </c>
      <c r="N293" s="812"/>
      <c r="O293" s="792">
        <f t="shared" si="19"/>
        <v>0</v>
      </c>
      <c r="P293" s="792">
        <f t="shared" si="20"/>
        <v>0</v>
      </c>
    </row>
    <row r="294" spans="3:16">
      <c r="C294" s="788">
        <f>IF(D269="","-",+C293+1)</f>
        <v>2032</v>
      </c>
      <c r="D294" s="736">
        <f t="shared" si="21"/>
        <v>4033742.6895000013</v>
      </c>
      <c r="E294" s="789">
        <f t="shared" si="23"/>
        <v>238447.84371428573</v>
      </c>
      <c r="F294" s="789">
        <f t="shared" si="17"/>
        <v>3795294.8457857156</v>
      </c>
      <c r="G294" s="736">
        <f t="shared" si="22"/>
        <v>3914518.7676428584</v>
      </c>
      <c r="H294" s="794">
        <f>+J270*G294+E294</f>
        <v>804110.80780006584</v>
      </c>
      <c r="I294" s="795">
        <f>+J271*G294+E294</f>
        <v>804110.80780006584</v>
      </c>
      <c r="J294" s="792">
        <f t="shared" si="24"/>
        <v>0</v>
      </c>
      <c r="K294" s="792"/>
      <c r="L294" s="812"/>
      <c r="M294" s="792">
        <f t="shared" si="18"/>
        <v>0</v>
      </c>
      <c r="N294" s="812"/>
      <c r="O294" s="792">
        <f t="shared" si="19"/>
        <v>0</v>
      </c>
      <c r="P294" s="792">
        <f t="shared" si="20"/>
        <v>0</v>
      </c>
    </row>
    <row r="295" spans="3:16">
      <c r="C295" s="788">
        <f>IF(D269="","-",+C294+1)</f>
        <v>2033</v>
      </c>
      <c r="D295" s="736">
        <f t="shared" si="21"/>
        <v>3795294.8457857156</v>
      </c>
      <c r="E295" s="789">
        <f t="shared" si="23"/>
        <v>238447.84371428573</v>
      </c>
      <c r="F295" s="789">
        <f t="shared" si="17"/>
        <v>3556847.00207143</v>
      </c>
      <c r="G295" s="736">
        <f t="shared" si="22"/>
        <v>3676070.9239285728</v>
      </c>
      <c r="H295" s="794">
        <f>+J270*G295+E295</f>
        <v>769654.1805461098</v>
      </c>
      <c r="I295" s="795">
        <f>+J271*G295+E295</f>
        <v>769654.1805461098</v>
      </c>
      <c r="J295" s="792">
        <f t="shared" si="24"/>
        <v>0</v>
      </c>
      <c r="K295" s="792"/>
      <c r="L295" s="812"/>
      <c r="M295" s="792">
        <f t="shared" si="18"/>
        <v>0</v>
      </c>
      <c r="N295" s="812"/>
      <c r="O295" s="792">
        <f t="shared" si="19"/>
        <v>0</v>
      </c>
      <c r="P295" s="792">
        <f t="shared" si="20"/>
        <v>0</v>
      </c>
    </row>
    <row r="296" spans="3:16">
      <c r="C296" s="788">
        <f>IF(D269="","-",+C295+1)</f>
        <v>2034</v>
      </c>
      <c r="D296" s="736">
        <f t="shared" si="21"/>
        <v>3556847.00207143</v>
      </c>
      <c r="E296" s="789">
        <f t="shared" si="23"/>
        <v>238447.84371428573</v>
      </c>
      <c r="F296" s="789">
        <f t="shared" si="17"/>
        <v>3318399.1583571443</v>
      </c>
      <c r="G296" s="736">
        <f t="shared" si="22"/>
        <v>3437623.0802142872</v>
      </c>
      <c r="H296" s="794">
        <f>+J270*G296+E296</f>
        <v>735197.55329215364</v>
      </c>
      <c r="I296" s="795">
        <f>+J271*G296+E296</f>
        <v>735197.55329215364</v>
      </c>
      <c r="J296" s="792">
        <f t="shared" si="24"/>
        <v>0</v>
      </c>
      <c r="K296" s="792"/>
      <c r="L296" s="812"/>
      <c r="M296" s="792">
        <f t="shared" si="18"/>
        <v>0</v>
      </c>
      <c r="N296" s="812"/>
      <c r="O296" s="792">
        <f t="shared" si="19"/>
        <v>0</v>
      </c>
      <c r="P296" s="792">
        <f t="shared" si="20"/>
        <v>0</v>
      </c>
    </row>
    <row r="297" spans="3:16">
      <c r="C297" s="788">
        <f>IF(D269="","-",+C296+1)</f>
        <v>2035</v>
      </c>
      <c r="D297" s="736">
        <f t="shared" si="21"/>
        <v>3318399.1583571443</v>
      </c>
      <c r="E297" s="789">
        <f t="shared" si="23"/>
        <v>238447.84371428573</v>
      </c>
      <c r="F297" s="789">
        <f t="shared" si="17"/>
        <v>3079951.3146428587</v>
      </c>
      <c r="G297" s="736">
        <f t="shared" si="22"/>
        <v>3199175.2365000015</v>
      </c>
      <c r="H297" s="794">
        <f>+J270*G297+E297</f>
        <v>700740.92603819747</v>
      </c>
      <c r="I297" s="795">
        <f>+J271*G297+E297</f>
        <v>700740.92603819747</v>
      </c>
      <c r="J297" s="792">
        <f t="shared" si="24"/>
        <v>0</v>
      </c>
      <c r="K297" s="792"/>
      <c r="L297" s="812"/>
      <c r="M297" s="792">
        <f t="shared" si="18"/>
        <v>0</v>
      </c>
      <c r="N297" s="812"/>
      <c r="O297" s="792">
        <f t="shared" si="19"/>
        <v>0</v>
      </c>
      <c r="P297" s="792">
        <f t="shared" si="20"/>
        <v>0</v>
      </c>
    </row>
    <row r="298" spans="3:16">
      <c r="C298" s="788">
        <f>IF(D269="","-",+C297+1)</f>
        <v>2036</v>
      </c>
      <c r="D298" s="736">
        <f t="shared" si="21"/>
        <v>3079951.3146428587</v>
      </c>
      <c r="E298" s="789">
        <f t="shared" si="23"/>
        <v>238447.84371428573</v>
      </c>
      <c r="F298" s="789">
        <f t="shared" si="17"/>
        <v>2841503.470928573</v>
      </c>
      <c r="G298" s="736">
        <f t="shared" si="22"/>
        <v>2960727.3927857159</v>
      </c>
      <c r="H298" s="794">
        <f>+J270*G298+E298</f>
        <v>666284.29878424131</v>
      </c>
      <c r="I298" s="795">
        <f>+J271*G298+E298</f>
        <v>666284.29878424131</v>
      </c>
      <c r="J298" s="792">
        <f t="shared" si="24"/>
        <v>0</v>
      </c>
      <c r="K298" s="792"/>
      <c r="L298" s="812"/>
      <c r="M298" s="792">
        <f t="shared" si="18"/>
        <v>0</v>
      </c>
      <c r="N298" s="812"/>
      <c r="O298" s="792">
        <f t="shared" si="19"/>
        <v>0</v>
      </c>
      <c r="P298" s="792">
        <f t="shared" si="20"/>
        <v>0</v>
      </c>
    </row>
    <row r="299" spans="3:16">
      <c r="C299" s="788">
        <f>IF(D269="","-",+C298+1)</f>
        <v>2037</v>
      </c>
      <c r="D299" s="736">
        <f t="shared" si="21"/>
        <v>2841503.470928573</v>
      </c>
      <c r="E299" s="789">
        <f t="shared" si="23"/>
        <v>238447.84371428573</v>
      </c>
      <c r="F299" s="789">
        <f t="shared" si="17"/>
        <v>2603055.6272142874</v>
      </c>
      <c r="G299" s="736">
        <f t="shared" si="22"/>
        <v>2722279.5490714302</v>
      </c>
      <c r="H299" s="794">
        <f>+J270*G299+E299</f>
        <v>631827.67153028527</v>
      </c>
      <c r="I299" s="795">
        <f>+J271*G299+E299</f>
        <v>631827.67153028527</v>
      </c>
      <c r="J299" s="792">
        <f t="shared" si="24"/>
        <v>0</v>
      </c>
      <c r="K299" s="792"/>
      <c r="L299" s="812"/>
      <c r="M299" s="792">
        <f t="shared" si="18"/>
        <v>0</v>
      </c>
      <c r="N299" s="812"/>
      <c r="O299" s="792">
        <f t="shared" si="19"/>
        <v>0</v>
      </c>
      <c r="P299" s="792">
        <f t="shared" si="20"/>
        <v>0</v>
      </c>
    </row>
    <row r="300" spans="3:16">
      <c r="C300" s="788">
        <f>IF(D269="","-",+C299+1)</f>
        <v>2038</v>
      </c>
      <c r="D300" s="736">
        <f t="shared" si="21"/>
        <v>2603055.6272142874</v>
      </c>
      <c r="E300" s="789">
        <f t="shared" si="23"/>
        <v>238447.84371428573</v>
      </c>
      <c r="F300" s="789">
        <f t="shared" si="17"/>
        <v>2364607.7835000018</v>
      </c>
      <c r="G300" s="736">
        <f t="shared" si="22"/>
        <v>2483831.7053571446</v>
      </c>
      <c r="H300" s="794">
        <f>+J270*G300+E300</f>
        <v>597371.04427632911</v>
      </c>
      <c r="I300" s="795">
        <f>+J271*G300+E300</f>
        <v>597371.04427632911</v>
      </c>
      <c r="J300" s="792">
        <f t="shared" si="24"/>
        <v>0</v>
      </c>
      <c r="K300" s="792"/>
      <c r="L300" s="812"/>
      <c r="M300" s="792">
        <f t="shared" si="18"/>
        <v>0</v>
      </c>
      <c r="N300" s="812"/>
      <c r="O300" s="792">
        <f t="shared" si="19"/>
        <v>0</v>
      </c>
      <c r="P300" s="792">
        <f t="shared" si="20"/>
        <v>0</v>
      </c>
    </row>
    <row r="301" spans="3:16">
      <c r="C301" s="788">
        <f>IF(D269="","-",+C300+1)</f>
        <v>2039</v>
      </c>
      <c r="D301" s="736">
        <f t="shared" si="21"/>
        <v>2364607.7835000018</v>
      </c>
      <c r="E301" s="789">
        <f t="shared" si="23"/>
        <v>238447.84371428573</v>
      </c>
      <c r="F301" s="789">
        <f t="shared" si="17"/>
        <v>2126159.9397857161</v>
      </c>
      <c r="G301" s="736">
        <f t="shared" si="22"/>
        <v>2245383.8616428589</v>
      </c>
      <c r="H301" s="794">
        <f>+J270*G301+E301</f>
        <v>562914.41702237295</v>
      </c>
      <c r="I301" s="795">
        <f>+J271*G301+E301</f>
        <v>562914.41702237295</v>
      </c>
      <c r="J301" s="792">
        <f t="shared" si="24"/>
        <v>0</v>
      </c>
      <c r="K301" s="792"/>
      <c r="L301" s="812"/>
      <c r="M301" s="792">
        <f t="shared" si="18"/>
        <v>0</v>
      </c>
      <c r="N301" s="812"/>
      <c r="O301" s="792">
        <f t="shared" si="19"/>
        <v>0</v>
      </c>
      <c r="P301" s="792">
        <f t="shared" si="20"/>
        <v>0</v>
      </c>
    </row>
    <row r="302" spans="3:16">
      <c r="C302" s="788">
        <f>IF(D269="","-",+C301+1)</f>
        <v>2040</v>
      </c>
      <c r="D302" s="736">
        <f t="shared" si="21"/>
        <v>2126159.9397857161</v>
      </c>
      <c r="E302" s="789">
        <f t="shared" si="23"/>
        <v>238447.84371428573</v>
      </c>
      <c r="F302" s="789">
        <f t="shared" si="17"/>
        <v>1887712.0960714305</v>
      </c>
      <c r="G302" s="736">
        <f t="shared" si="22"/>
        <v>2006936.0179285733</v>
      </c>
      <c r="H302" s="794">
        <f>+J270*G302+E302</f>
        <v>528457.78976841678</v>
      </c>
      <c r="I302" s="795">
        <f>+J271*G302+E302</f>
        <v>528457.78976841678</v>
      </c>
      <c r="J302" s="792">
        <f t="shared" si="24"/>
        <v>0</v>
      </c>
      <c r="K302" s="792"/>
      <c r="L302" s="812"/>
      <c r="M302" s="792">
        <f t="shared" si="18"/>
        <v>0</v>
      </c>
      <c r="N302" s="812"/>
      <c r="O302" s="792">
        <f t="shared" si="19"/>
        <v>0</v>
      </c>
      <c r="P302" s="792">
        <f t="shared" si="20"/>
        <v>0</v>
      </c>
    </row>
    <row r="303" spans="3:16">
      <c r="C303" s="788">
        <f>IF(D269="","-",+C302+1)</f>
        <v>2041</v>
      </c>
      <c r="D303" s="736">
        <f t="shared" si="21"/>
        <v>1887712.0960714305</v>
      </c>
      <c r="E303" s="789">
        <f t="shared" si="23"/>
        <v>238447.84371428573</v>
      </c>
      <c r="F303" s="789">
        <f t="shared" si="17"/>
        <v>1649264.2523571448</v>
      </c>
      <c r="G303" s="736">
        <f t="shared" si="22"/>
        <v>1768488.1742142877</v>
      </c>
      <c r="H303" s="794">
        <f>+J270*G303+E303</f>
        <v>494001.16251446074</v>
      </c>
      <c r="I303" s="795">
        <f>+J271*G303+E303</f>
        <v>494001.16251446074</v>
      </c>
      <c r="J303" s="792">
        <f t="shared" si="24"/>
        <v>0</v>
      </c>
      <c r="K303" s="792"/>
      <c r="L303" s="812"/>
      <c r="M303" s="792">
        <f t="shared" si="18"/>
        <v>0</v>
      </c>
      <c r="N303" s="812"/>
      <c r="O303" s="792">
        <f t="shared" si="19"/>
        <v>0</v>
      </c>
      <c r="P303" s="792">
        <f t="shared" si="20"/>
        <v>0</v>
      </c>
    </row>
    <row r="304" spans="3:16">
      <c r="C304" s="788">
        <f>IF(D269="","-",+C303+1)</f>
        <v>2042</v>
      </c>
      <c r="D304" s="736">
        <f t="shared" si="21"/>
        <v>1649264.2523571448</v>
      </c>
      <c r="E304" s="789">
        <f t="shared" si="23"/>
        <v>238447.84371428573</v>
      </c>
      <c r="F304" s="789">
        <f t="shared" si="17"/>
        <v>1410816.4086428592</v>
      </c>
      <c r="G304" s="736">
        <f t="shared" si="22"/>
        <v>1530040.330500002</v>
      </c>
      <c r="H304" s="794">
        <f>+J270*G304+E304</f>
        <v>459544.53526050458</v>
      </c>
      <c r="I304" s="795">
        <f>+J271*G304+E304</f>
        <v>459544.53526050458</v>
      </c>
      <c r="J304" s="792">
        <f t="shared" si="24"/>
        <v>0</v>
      </c>
      <c r="K304" s="792"/>
      <c r="L304" s="812"/>
      <c r="M304" s="792">
        <f t="shared" si="18"/>
        <v>0</v>
      </c>
      <c r="N304" s="812"/>
      <c r="O304" s="792">
        <f t="shared" si="19"/>
        <v>0</v>
      </c>
      <c r="P304" s="792">
        <f t="shared" si="20"/>
        <v>0</v>
      </c>
    </row>
    <row r="305" spans="3:16">
      <c r="C305" s="788">
        <f>IF(D269="","-",+C304+1)</f>
        <v>2043</v>
      </c>
      <c r="D305" s="736">
        <f t="shared" si="21"/>
        <v>1410816.4086428592</v>
      </c>
      <c r="E305" s="789">
        <f t="shared" si="23"/>
        <v>238447.84371428573</v>
      </c>
      <c r="F305" s="789">
        <f t="shared" si="17"/>
        <v>1172368.5649285736</v>
      </c>
      <c r="G305" s="736">
        <f t="shared" si="22"/>
        <v>1291592.4867857164</v>
      </c>
      <c r="H305" s="794">
        <f>+J270*G305+E305</f>
        <v>425087.90800654842</v>
      </c>
      <c r="I305" s="795">
        <f>+J271*G305+E305</f>
        <v>425087.90800654842</v>
      </c>
      <c r="J305" s="792">
        <f t="shared" si="24"/>
        <v>0</v>
      </c>
      <c r="K305" s="792"/>
      <c r="L305" s="812"/>
      <c r="M305" s="792">
        <f t="shared" si="18"/>
        <v>0</v>
      </c>
      <c r="N305" s="812"/>
      <c r="O305" s="792">
        <f t="shared" si="19"/>
        <v>0</v>
      </c>
      <c r="P305" s="792">
        <f t="shared" si="20"/>
        <v>0</v>
      </c>
    </row>
    <row r="306" spans="3:16">
      <c r="C306" s="788">
        <f>IF(D269="","-",+C305+1)</f>
        <v>2044</v>
      </c>
      <c r="D306" s="736">
        <f t="shared" si="21"/>
        <v>1172368.5649285736</v>
      </c>
      <c r="E306" s="789">
        <f t="shared" si="23"/>
        <v>238447.84371428573</v>
      </c>
      <c r="F306" s="789">
        <f t="shared" si="17"/>
        <v>933920.7212142878</v>
      </c>
      <c r="G306" s="736">
        <f t="shared" si="22"/>
        <v>1053144.6430714307</v>
      </c>
      <c r="H306" s="794">
        <f>+J270*G306+E306</f>
        <v>390631.28075259231</v>
      </c>
      <c r="I306" s="795">
        <f>+J271*G306+E306</f>
        <v>390631.28075259231</v>
      </c>
      <c r="J306" s="792">
        <f t="shared" si="24"/>
        <v>0</v>
      </c>
      <c r="K306" s="792"/>
      <c r="L306" s="812"/>
      <c r="M306" s="792">
        <f t="shared" si="18"/>
        <v>0</v>
      </c>
      <c r="N306" s="812"/>
      <c r="O306" s="792">
        <f t="shared" si="19"/>
        <v>0</v>
      </c>
      <c r="P306" s="792">
        <f t="shared" si="20"/>
        <v>0</v>
      </c>
    </row>
    <row r="307" spans="3:16">
      <c r="C307" s="788">
        <f>IF(D269="","-",+C306+1)</f>
        <v>2045</v>
      </c>
      <c r="D307" s="736">
        <f t="shared" si="21"/>
        <v>933920.7212142878</v>
      </c>
      <c r="E307" s="789">
        <f t="shared" si="23"/>
        <v>238447.84371428573</v>
      </c>
      <c r="F307" s="789">
        <f t="shared" si="17"/>
        <v>695472.87750000204</v>
      </c>
      <c r="G307" s="736">
        <f t="shared" si="22"/>
        <v>814696.79935714486</v>
      </c>
      <c r="H307" s="794">
        <f>+J270*G307+E307</f>
        <v>356174.65349863615</v>
      </c>
      <c r="I307" s="795">
        <f>+J271*G307+E307</f>
        <v>356174.65349863615</v>
      </c>
      <c r="J307" s="792">
        <f t="shared" si="24"/>
        <v>0</v>
      </c>
      <c r="K307" s="792"/>
      <c r="L307" s="812"/>
      <c r="M307" s="792">
        <f t="shared" si="18"/>
        <v>0</v>
      </c>
      <c r="N307" s="812"/>
      <c r="O307" s="792">
        <f t="shared" si="19"/>
        <v>0</v>
      </c>
      <c r="P307" s="792">
        <f t="shared" si="20"/>
        <v>0</v>
      </c>
    </row>
    <row r="308" spans="3:16">
      <c r="C308" s="788">
        <f>IF(D269="","-",+C307+1)</f>
        <v>2046</v>
      </c>
      <c r="D308" s="736">
        <f t="shared" si="21"/>
        <v>695472.87750000204</v>
      </c>
      <c r="E308" s="789">
        <f t="shared" si="23"/>
        <v>238447.84371428573</v>
      </c>
      <c r="F308" s="789">
        <f t="shared" si="17"/>
        <v>457025.03378571628</v>
      </c>
      <c r="G308" s="736">
        <f t="shared" si="22"/>
        <v>576248.95564285922</v>
      </c>
      <c r="H308" s="794">
        <f>+J270*G308+E308</f>
        <v>321718.02624468005</v>
      </c>
      <c r="I308" s="795">
        <f>+J271*G308+E308</f>
        <v>321718.02624468005</v>
      </c>
      <c r="J308" s="792">
        <f t="shared" si="24"/>
        <v>0</v>
      </c>
      <c r="K308" s="792"/>
      <c r="L308" s="812"/>
      <c r="M308" s="792">
        <f t="shared" si="18"/>
        <v>0</v>
      </c>
      <c r="N308" s="812"/>
      <c r="O308" s="792">
        <f t="shared" si="19"/>
        <v>0</v>
      </c>
      <c r="P308" s="792">
        <f t="shared" si="20"/>
        <v>0</v>
      </c>
    </row>
    <row r="309" spans="3:16">
      <c r="C309" s="788">
        <f>IF(D269="","-",+C308+1)</f>
        <v>2047</v>
      </c>
      <c r="D309" s="736">
        <f t="shared" si="21"/>
        <v>457025.03378571628</v>
      </c>
      <c r="E309" s="789">
        <f t="shared" si="23"/>
        <v>238447.84371428573</v>
      </c>
      <c r="F309" s="789">
        <f t="shared" si="17"/>
        <v>218577.19007143055</v>
      </c>
      <c r="G309" s="736">
        <f t="shared" si="22"/>
        <v>337801.1119285734</v>
      </c>
      <c r="H309" s="794">
        <f>+J270*G309+E309</f>
        <v>287261.39899072389</v>
      </c>
      <c r="I309" s="795">
        <f>+J271*G309+E309</f>
        <v>287261.39899072389</v>
      </c>
      <c r="J309" s="792">
        <f t="shared" si="24"/>
        <v>0</v>
      </c>
      <c r="K309" s="792"/>
      <c r="L309" s="812"/>
      <c r="M309" s="792">
        <f t="shared" si="18"/>
        <v>0</v>
      </c>
      <c r="N309" s="812"/>
      <c r="O309" s="792">
        <f t="shared" si="19"/>
        <v>0</v>
      </c>
      <c r="P309" s="792">
        <f t="shared" si="20"/>
        <v>0</v>
      </c>
    </row>
    <row r="310" spans="3:16">
      <c r="C310" s="788">
        <f>IF(D269="","-",+C309+1)</f>
        <v>2048</v>
      </c>
      <c r="D310" s="736">
        <f t="shared" si="21"/>
        <v>218577.19007143055</v>
      </c>
      <c r="E310" s="789">
        <f t="shared" si="23"/>
        <v>218577.19007143055</v>
      </c>
      <c r="F310" s="789">
        <f t="shared" si="17"/>
        <v>0</v>
      </c>
      <c r="G310" s="736">
        <f t="shared" si="22"/>
        <v>109288.59503571528</v>
      </c>
      <c r="H310" s="794">
        <f>+J270*G310+E310</f>
        <v>234369.8108961606</v>
      </c>
      <c r="I310" s="795">
        <f>+J271*G310+E310</f>
        <v>234369.8108961606</v>
      </c>
      <c r="J310" s="792">
        <f t="shared" si="24"/>
        <v>0</v>
      </c>
      <c r="K310" s="792"/>
      <c r="L310" s="812"/>
      <c r="M310" s="792">
        <f t="shared" si="18"/>
        <v>0</v>
      </c>
      <c r="N310" s="812"/>
      <c r="O310" s="792">
        <f t="shared" si="19"/>
        <v>0</v>
      </c>
      <c r="P310" s="792">
        <f t="shared" si="20"/>
        <v>0</v>
      </c>
    </row>
    <row r="311" spans="3:16">
      <c r="C311" s="788">
        <f>IF(D269="","-",+C310+1)</f>
        <v>2049</v>
      </c>
      <c r="D311" s="736">
        <f t="shared" si="21"/>
        <v>0</v>
      </c>
      <c r="E311" s="789">
        <f t="shared" si="23"/>
        <v>0</v>
      </c>
      <c r="F311" s="789">
        <f t="shared" si="17"/>
        <v>0</v>
      </c>
      <c r="G311" s="736">
        <f t="shared" si="22"/>
        <v>0</v>
      </c>
      <c r="H311" s="794">
        <f>+J270*G311+E311</f>
        <v>0</v>
      </c>
      <c r="I311" s="795">
        <f>+J271*G311+E311</f>
        <v>0</v>
      </c>
      <c r="J311" s="792">
        <f t="shared" si="24"/>
        <v>0</v>
      </c>
      <c r="K311" s="792"/>
      <c r="L311" s="812"/>
      <c r="M311" s="792">
        <f t="shared" si="18"/>
        <v>0</v>
      </c>
      <c r="N311" s="812"/>
      <c r="O311" s="792">
        <f t="shared" si="19"/>
        <v>0</v>
      </c>
      <c r="P311" s="792">
        <f t="shared" si="20"/>
        <v>0</v>
      </c>
    </row>
    <row r="312" spans="3:16">
      <c r="C312" s="788">
        <f>IF(D269="","-",+C311+1)</f>
        <v>2050</v>
      </c>
      <c r="D312" s="736">
        <f t="shared" si="21"/>
        <v>0</v>
      </c>
      <c r="E312" s="789">
        <f t="shared" si="23"/>
        <v>0</v>
      </c>
      <c r="F312" s="789">
        <f t="shared" si="17"/>
        <v>0</v>
      </c>
      <c r="G312" s="736">
        <f t="shared" si="22"/>
        <v>0</v>
      </c>
      <c r="H312" s="794">
        <f>+J270*G312+E312</f>
        <v>0</v>
      </c>
      <c r="I312" s="795">
        <f>+J271*G312+E312</f>
        <v>0</v>
      </c>
      <c r="J312" s="792">
        <f t="shared" si="24"/>
        <v>0</v>
      </c>
      <c r="K312" s="792"/>
      <c r="L312" s="812"/>
      <c r="M312" s="792">
        <f t="shared" si="18"/>
        <v>0</v>
      </c>
      <c r="N312" s="812"/>
      <c r="O312" s="792">
        <f t="shared" si="19"/>
        <v>0</v>
      </c>
      <c r="P312" s="792">
        <f t="shared" si="20"/>
        <v>0</v>
      </c>
    </row>
    <row r="313" spans="3:16">
      <c r="C313" s="788">
        <f>IF(D269="","-",+C312+1)</f>
        <v>2051</v>
      </c>
      <c r="D313" s="736">
        <f t="shared" si="21"/>
        <v>0</v>
      </c>
      <c r="E313" s="789">
        <f t="shared" si="23"/>
        <v>0</v>
      </c>
      <c r="F313" s="789">
        <f t="shared" si="17"/>
        <v>0</v>
      </c>
      <c r="G313" s="736">
        <f t="shared" si="22"/>
        <v>0</v>
      </c>
      <c r="H313" s="794">
        <f>+J270*G313+E313</f>
        <v>0</v>
      </c>
      <c r="I313" s="795">
        <f>+J271*G313+E313</f>
        <v>0</v>
      </c>
      <c r="J313" s="792">
        <f t="shared" si="24"/>
        <v>0</v>
      </c>
      <c r="K313" s="792"/>
      <c r="L313" s="812"/>
      <c r="M313" s="792">
        <f t="shared" si="18"/>
        <v>0</v>
      </c>
      <c r="N313" s="812"/>
      <c r="O313" s="792">
        <f t="shared" si="19"/>
        <v>0</v>
      </c>
      <c r="P313" s="792">
        <f t="shared" si="20"/>
        <v>0</v>
      </c>
    </row>
    <row r="314" spans="3:16">
      <c r="C314" s="788">
        <f>IF(D269="","-",+C313+1)</f>
        <v>2052</v>
      </c>
      <c r="D314" s="736">
        <f t="shared" si="21"/>
        <v>0</v>
      </c>
      <c r="E314" s="789">
        <f t="shared" si="23"/>
        <v>0</v>
      </c>
      <c r="F314" s="789">
        <f t="shared" si="17"/>
        <v>0</v>
      </c>
      <c r="G314" s="736">
        <f t="shared" si="22"/>
        <v>0</v>
      </c>
      <c r="H314" s="794">
        <f>+J270*G314+E314</f>
        <v>0</v>
      </c>
      <c r="I314" s="795">
        <f>+J271*G314+E314</f>
        <v>0</v>
      </c>
      <c r="J314" s="792">
        <f t="shared" si="24"/>
        <v>0</v>
      </c>
      <c r="K314" s="792"/>
      <c r="L314" s="812"/>
      <c r="M314" s="792">
        <f t="shared" si="18"/>
        <v>0</v>
      </c>
      <c r="N314" s="812"/>
      <c r="O314" s="792">
        <f t="shared" si="19"/>
        <v>0</v>
      </c>
      <c r="P314" s="792">
        <f t="shared" si="20"/>
        <v>0</v>
      </c>
    </row>
    <row r="315" spans="3:16">
      <c r="C315" s="788">
        <f>IF(D269="","-",+C314+1)</f>
        <v>2053</v>
      </c>
      <c r="D315" s="736">
        <f t="shared" si="21"/>
        <v>0</v>
      </c>
      <c r="E315" s="789">
        <f t="shared" si="23"/>
        <v>0</v>
      </c>
      <c r="F315" s="789">
        <f t="shared" si="17"/>
        <v>0</v>
      </c>
      <c r="G315" s="736">
        <f t="shared" si="22"/>
        <v>0</v>
      </c>
      <c r="H315" s="794">
        <f>+J270*G315+E315</f>
        <v>0</v>
      </c>
      <c r="I315" s="795">
        <f>+J271*G315+E315</f>
        <v>0</v>
      </c>
      <c r="J315" s="792">
        <f t="shared" si="24"/>
        <v>0</v>
      </c>
      <c r="K315" s="792"/>
      <c r="L315" s="812"/>
      <c r="M315" s="792">
        <f t="shared" si="18"/>
        <v>0</v>
      </c>
      <c r="N315" s="812"/>
      <c r="O315" s="792">
        <f t="shared" si="19"/>
        <v>0</v>
      </c>
      <c r="P315" s="792">
        <f t="shared" si="20"/>
        <v>0</v>
      </c>
    </row>
    <row r="316" spans="3:16">
      <c r="C316" s="788">
        <f>IF(D269="","-",+C315+1)</f>
        <v>2054</v>
      </c>
      <c r="D316" s="736">
        <f t="shared" si="21"/>
        <v>0</v>
      </c>
      <c r="E316" s="789">
        <f t="shared" si="23"/>
        <v>0</v>
      </c>
      <c r="F316" s="789">
        <f t="shared" si="17"/>
        <v>0</v>
      </c>
      <c r="G316" s="736">
        <f t="shared" si="22"/>
        <v>0</v>
      </c>
      <c r="H316" s="794">
        <f>+J270*G316+E316</f>
        <v>0</v>
      </c>
      <c r="I316" s="795">
        <f>+J271*G316+E316</f>
        <v>0</v>
      </c>
      <c r="J316" s="792">
        <f t="shared" si="24"/>
        <v>0</v>
      </c>
      <c r="K316" s="792"/>
      <c r="L316" s="812"/>
      <c r="M316" s="792">
        <f t="shared" si="18"/>
        <v>0</v>
      </c>
      <c r="N316" s="812"/>
      <c r="O316" s="792">
        <f t="shared" si="19"/>
        <v>0</v>
      </c>
      <c r="P316" s="792">
        <f t="shared" si="20"/>
        <v>0</v>
      </c>
    </row>
    <row r="317" spans="3:16">
      <c r="C317" s="788">
        <f>IF(D269="","-",+C316+1)</f>
        <v>2055</v>
      </c>
      <c r="D317" s="736">
        <f t="shared" si="21"/>
        <v>0</v>
      </c>
      <c r="E317" s="789">
        <f t="shared" si="23"/>
        <v>0</v>
      </c>
      <c r="F317" s="789">
        <f t="shared" si="17"/>
        <v>0</v>
      </c>
      <c r="G317" s="736">
        <f t="shared" si="22"/>
        <v>0</v>
      </c>
      <c r="H317" s="794">
        <f>+J270*G317+E317</f>
        <v>0</v>
      </c>
      <c r="I317" s="795">
        <f>+J271*G317+E317</f>
        <v>0</v>
      </c>
      <c r="J317" s="792">
        <f t="shared" si="24"/>
        <v>0</v>
      </c>
      <c r="K317" s="792"/>
      <c r="L317" s="812"/>
      <c r="M317" s="792">
        <f t="shared" si="18"/>
        <v>0</v>
      </c>
      <c r="N317" s="812"/>
      <c r="O317" s="792">
        <f t="shared" si="19"/>
        <v>0</v>
      </c>
      <c r="P317" s="792">
        <f t="shared" si="20"/>
        <v>0</v>
      </c>
    </row>
    <row r="318" spans="3:16">
      <c r="C318" s="788">
        <f>IF(D269="","-",+C317+1)</f>
        <v>2056</v>
      </c>
      <c r="D318" s="736">
        <f t="shared" si="21"/>
        <v>0</v>
      </c>
      <c r="E318" s="789">
        <f t="shared" si="23"/>
        <v>0</v>
      </c>
      <c r="F318" s="789">
        <f t="shared" si="17"/>
        <v>0</v>
      </c>
      <c r="G318" s="736">
        <f t="shared" si="22"/>
        <v>0</v>
      </c>
      <c r="H318" s="794">
        <f>+J270*G318+E318</f>
        <v>0</v>
      </c>
      <c r="I318" s="795">
        <f>+J271*G318+E318</f>
        <v>0</v>
      </c>
      <c r="J318" s="792">
        <f t="shared" si="24"/>
        <v>0</v>
      </c>
      <c r="K318" s="792"/>
      <c r="L318" s="812"/>
      <c r="M318" s="792">
        <f t="shared" si="18"/>
        <v>0</v>
      </c>
      <c r="N318" s="812"/>
      <c r="O318" s="792">
        <f t="shared" si="19"/>
        <v>0</v>
      </c>
      <c r="P318" s="792">
        <f t="shared" si="20"/>
        <v>0</v>
      </c>
    </row>
    <row r="319" spans="3:16">
      <c r="C319" s="788">
        <f>IF(D269="","-",+C318+1)</f>
        <v>2057</v>
      </c>
      <c r="D319" s="736">
        <f t="shared" si="21"/>
        <v>0</v>
      </c>
      <c r="E319" s="789">
        <f t="shared" si="23"/>
        <v>0</v>
      </c>
      <c r="F319" s="789">
        <f t="shared" si="17"/>
        <v>0</v>
      </c>
      <c r="G319" s="736">
        <f t="shared" si="22"/>
        <v>0</v>
      </c>
      <c r="H319" s="794">
        <f>+J270*G319+E319</f>
        <v>0</v>
      </c>
      <c r="I319" s="795">
        <f>+J271*G319+E319</f>
        <v>0</v>
      </c>
      <c r="J319" s="792">
        <f t="shared" si="24"/>
        <v>0</v>
      </c>
      <c r="K319" s="792"/>
      <c r="L319" s="812"/>
      <c r="M319" s="792">
        <f t="shared" si="18"/>
        <v>0</v>
      </c>
      <c r="N319" s="812"/>
      <c r="O319" s="792">
        <f t="shared" si="19"/>
        <v>0</v>
      </c>
      <c r="P319" s="792">
        <f t="shared" si="20"/>
        <v>0</v>
      </c>
    </row>
    <row r="320" spans="3:16">
      <c r="C320" s="788">
        <f>IF(D269="","-",+C319+1)</f>
        <v>2058</v>
      </c>
      <c r="D320" s="736">
        <f t="shared" si="21"/>
        <v>0</v>
      </c>
      <c r="E320" s="789">
        <f t="shared" si="23"/>
        <v>0</v>
      </c>
      <c r="F320" s="789">
        <f t="shared" si="17"/>
        <v>0</v>
      </c>
      <c r="G320" s="736">
        <f t="shared" si="22"/>
        <v>0</v>
      </c>
      <c r="H320" s="794">
        <f>+J270*G320+E320</f>
        <v>0</v>
      </c>
      <c r="I320" s="795">
        <f>+J271*G320+E320</f>
        <v>0</v>
      </c>
      <c r="J320" s="792">
        <f t="shared" si="24"/>
        <v>0</v>
      </c>
      <c r="K320" s="792"/>
      <c r="L320" s="812"/>
      <c r="M320" s="792">
        <f t="shared" si="18"/>
        <v>0</v>
      </c>
      <c r="N320" s="812"/>
      <c r="O320" s="792">
        <f t="shared" si="19"/>
        <v>0</v>
      </c>
      <c r="P320" s="792">
        <f t="shared" si="20"/>
        <v>0</v>
      </c>
    </row>
    <row r="321" spans="3:16">
      <c r="C321" s="788">
        <f>IF(D269="","-",+C320+1)</f>
        <v>2059</v>
      </c>
      <c r="D321" s="736">
        <f t="shared" si="21"/>
        <v>0</v>
      </c>
      <c r="E321" s="789">
        <f t="shared" si="23"/>
        <v>0</v>
      </c>
      <c r="F321" s="789">
        <f t="shared" si="17"/>
        <v>0</v>
      </c>
      <c r="G321" s="736">
        <f t="shared" si="22"/>
        <v>0</v>
      </c>
      <c r="H321" s="794">
        <f>+J270*G321+E321</f>
        <v>0</v>
      </c>
      <c r="I321" s="795">
        <f>+J271*G321+E321</f>
        <v>0</v>
      </c>
      <c r="J321" s="792">
        <f t="shared" si="24"/>
        <v>0</v>
      </c>
      <c r="K321" s="792"/>
      <c r="L321" s="812"/>
      <c r="M321" s="792">
        <f t="shared" si="18"/>
        <v>0</v>
      </c>
      <c r="N321" s="812"/>
      <c r="O321" s="792">
        <f t="shared" si="19"/>
        <v>0</v>
      </c>
      <c r="P321" s="792">
        <f t="shared" si="20"/>
        <v>0</v>
      </c>
    </row>
    <row r="322" spans="3:16">
      <c r="C322" s="788">
        <f>IF(D269="","-",+C321+1)</f>
        <v>2060</v>
      </c>
      <c r="D322" s="736">
        <f t="shared" si="21"/>
        <v>0</v>
      </c>
      <c r="E322" s="789">
        <f t="shared" si="23"/>
        <v>0</v>
      </c>
      <c r="F322" s="789">
        <f t="shared" si="17"/>
        <v>0</v>
      </c>
      <c r="G322" s="736">
        <f t="shared" si="22"/>
        <v>0</v>
      </c>
      <c r="H322" s="794">
        <f>+J270*G322+E322</f>
        <v>0</v>
      </c>
      <c r="I322" s="795">
        <f>+J271*G322+E322</f>
        <v>0</v>
      </c>
      <c r="J322" s="792">
        <f t="shared" si="24"/>
        <v>0</v>
      </c>
      <c r="K322" s="792"/>
      <c r="L322" s="812"/>
      <c r="M322" s="792">
        <f t="shared" si="18"/>
        <v>0</v>
      </c>
      <c r="N322" s="812"/>
      <c r="O322" s="792">
        <f t="shared" si="19"/>
        <v>0</v>
      </c>
      <c r="P322" s="792">
        <f t="shared" si="20"/>
        <v>0</v>
      </c>
    </row>
    <row r="323" spans="3:16">
      <c r="C323" s="788">
        <f>IF(D269="","-",+C322+1)</f>
        <v>2061</v>
      </c>
      <c r="D323" s="736">
        <f t="shared" si="21"/>
        <v>0</v>
      </c>
      <c r="E323" s="789">
        <f t="shared" si="23"/>
        <v>0</v>
      </c>
      <c r="F323" s="789">
        <f t="shared" si="17"/>
        <v>0</v>
      </c>
      <c r="G323" s="736">
        <f t="shared" si="22"/>
        <v>0</v>
      </c>
      <c r="H323" s="794">
        <f>+J270*G323+E323</f>
        <v>0</v>
      </c>
      <c r="I323" s="795">
        <f>+J271*G323+E323</f>
        <v>0</v>
      </c>
      <c r="J323" s="792">
        <f t="shared" si="24"/>
        <v>0</v>
      </c>
      <c r="K323" s="792"/>
      <c r="L323" s="812"/>
      <c r="M323" s="792">
        <f t="shared" si="18"/>
        <v>0</v>
      </c>
      <c r="N323" s="812"/>
      <c r="O323" s="792">
        <f t="shared" si="19"/>
        <v>0</v>
      </c>
      <c r="P323" s="792">
        <f t="shared" si="20"/>
        <v>0</v>
      </c>
    </row>
    <row r="324" spans="3:16">
      <c r="C324" s="788">
        <f>IF(D269="","-",+C323+1)</f>
        <v>2062</v>
      </c>
      <c r="D324" s="736">
        <f t="shared" si="21"/>
        <v>0</v>
      </c>
      <c r="E324" s="789">
        <f t="shared" si="23"/>
        <v>0</v>
      </c>
      <c r="F324" s="789">
        <f t="shared" si="17"/>
        <v>0</v>
      </c>
      <c r="G324" s="736">
        <f t="shared" si="22"/>
        <v>0</v>
      </c>
      <c r="H324" s="794">
        <f>+J270*G324+E324</f>
        <v>0</v>
      </c>
      <c r="I324" s="795">
        <f>+J271*G324+E324</f>
        <v>0</v>
      </c>
      <c r="J324" s="792">
        <f t="shared" si="24"/>
        <v>0</v>
      </c>
      <c r="K324" s="792"/>
      <c r="L324" s="812"/>
      <c r="M324" s="792">
        <f t="shared" si="18"/>
        <v>0</v>
      </c>
      <c r="N324" s="812"/>
      <c r="O324" s="792">
        <f t="shared" si="19"/>
        <v>0</v>
      </c>
      <c r="P324" s="792">
        <f t="shared" si="20"/>
        <v>0</v>
      </c>
    </row>
    <row r="325" spans="3:16">
      <c r="C325" s="788">
        <f>IF(D269="","-",+C324+1)</f>
        <v>2063</v>
      </c>
      <c r="D325" s="736">
        <f t="shared" si="21"/>
        <v>0</v>
      </c>
      <c r="E325" s="789">
        <f t="shared" si="23"/>
        <v>0</v>
      </c>
      <c r="F325" s="789">
        <f t="shared" si="17"/>
        <v>0</v>
      </c>
      <c r="G325" s="736">
        <f t="shared" si="22"/>
        <v>0</v>
      </c>
      <c r="H325" s="794">
        <f>+J270*G325+E325</f>
        <v>0</v>
      </c>
      <c r="I325" s="795">
        <f>+J271*G325+E325</f>
        <v>0</v>
      </c>
      <c r="J325" s="792">
        <f t="shared" si="24"/>
        <v>0</v>
      </c>
      <c r="K325" s="792"/>
      <c r="L325" s="812"/>
      <c r="M325" s="792">
        <f t="shared" si="18"/>
        <v>0</v>
      </c>
      <c r="N325" s="812"/>
      <c r="O325" s="792">
        <f t="shared" si="19"/>
        <v>0</v>
      </c>
      <c r="P325" s="792">
        <f t="shared" si="20"/>
        <v>0</v>
      </c>
    </row>
    <row r="326" spans="3:16">
      <c r="C326" s="788">
        <f>IF(D269="","-",+C325+1)</f>
        <v>2064</v>
      </c>
      <c r="D326" s="736">
        <f t="shared" si="21"/>
        <v>0</v>
      </c>
      <c r="E326" s="789">
        <f t="shared" si="23"/>
        <v>0</v>
      </c>
      <c r="F326" s="789">
        <f t="shared" si="17"/>
        <v>0</v>
      </c>
      <c r="G326" s="736">
        <f t="shared" si="22"/>
        <v>0</v>
      </c>
      <c r="H326" s="794">
        <f>+J270*G326+E326</f>
        <v>0</v>
      </c>
      <c r="I326" s="795">
        <f>+J271*G326+E326</f>
        <v>0</v>
      </c>
      <c r="J326" s="792">
        <f t="shared" si="24"/>
        <v>0</v>
      </c>
      <c r="K326" s="792"/>
      <c r="L326" s="812"/>
      <c r="M326" s="792">
        <f t="shared" si="18"/>
        <v>0</v>
      </c>
      <c r="N326" s="812"/>
      <c r="O326" s="792">
        <f t="shared" si="19"/>
        <v>0</v>
      </c>
      <c r="P326" s="792">
        <f t="shared" si="20"/>
        <v>0</v>
      </c>
    </row>
    <row r="327" spans="3:16">
      <c r="C327" s="788">
        <f>IF(D269="","-",+C326+1)</f>
        <v>2065</v>
      </c>
      <c r="D327" s="736">
        <f t="shared" si="21"/>
        <v>0</v>
      </c>
      <c r="E327" s="789">
        <f t="shared" si="23"/>
        <v>0</v>
      </c>
      <c r="F327" s="789">
        <f t="shared" si="17"/>
        <v>0</v>
      </c>
      <c r="G327" s="736">
        <f t="shared" si="22"/>
        <v>0</v>
      </c>
      <c r="H327" s="794">
        <f>+J270*G327+E327</f>
        <v>0</v>
      </c>
      <c r="I327" s="795">
        <f>+J271*G327+E327</f>
        <v>0</v>
      </c>
      <c r="J327" s="792">
        <f t="shared" si="24"/>
        <v>0</v>
      </c>
      <c r="K327" s="792"/>
      <c r="L327" s="812"/>
      <c r="M327" s="792">
        <f t="shared" si="18"/>
        <v>0</v>
      </c>
      <c r="N327" s="812"/>
      <c r="O327" s="792">
        <f t="shared" si="19"/>
        <v>0</v>
      </c>
      <c r="P327" s="792">
        <f t="shared" si="20"/>
        <v>0</v>
      </c>
    </row>
    <row r="328" spans="3:16">
      <c r="C328" s="788">
        <f>IF(D269="","-",+C327+1)</f>
        <v>2066</v>
      </c>
      <c r="D328" s="736">
        <f t="shared" si="21"/>
        <v>0</v>
      </c>
      <c r="E328" s="789">
        <f t="shared" si="23"/>
        <v>0</v>
      </c>
      <c r="F328" s="789">
        <f t="shared" si="17"/>
        <v>0</v>
      </c>
      <c r="G328" s="736">
        <f t="shared" si="22"/>
        <v>0</v>
      </c>
      <c r="H328" s="794">
        <f>+J270*G328+E328</f>
        <v>0</v>
      </c>
      <c r="I328" s="795">
        <f>+J271*G328+E328</f>
        <v>0</v>
      </c>
      <c r="J328" s="792">
        <f t="shared" si="24"/>
        <v>0</v>
      </c>
      <c r="K328" s="792"/>
      <c r="L328" s="812"/>
      <c r="M328" s="792">
        <f t="shared" si="18"/>
        <v>0</v>
      </c>
      <c r="N328" s="812"/>
      <c r="O328" s="792">
        <f t="shared" si="19"/>
        <v>0</v>
      </c>
      <c r="P328" s="792">
        <f t="shared" si="20"/>
        <v>0</v>
      </c>
    </row>
    <row r="329" spans="3:16">
      <c r="C329" s="788">
        <f>IF(D269="","-",+C328+1)</f>
        <v>2067</v>
      </c>
      <c r="D329" s="736">
        <f t="shared" ref="D329:D334" si="25">F328</f>
        <v>0</v>
      </c>
      <c r="E329" s="789">
        <f t="shared" si="23"/>
        <v>0</v>
      </c>
      <c r="F329" s="789">
        <f t="shared" si="17"/>
        <v>0</v>
      </c>
      <c r="G329" s="736">
        <f t="shared" si="22"/>
        <v>0</v>
      </c>
      <c r="H329" s="794">
        <f>+J270*G329+E329</f>
        <v>0</v>
      </c>
      <c r="I329" s="795">
        <f>+J271*G329+E329</f>
        <v>0</v>
      </c>
      <c r="J329" s="792">
        <f t="shared" si="24"/>
        <v>0</v>
      </c>
      <c r="K329" s="792"/>
      <c r="L329" s="812"/>
      <c r="M329" s="792">
        <f t="shared" si="18"/>
        <v>0</v>
      </c>
      <c r="N329" s="812"/>
      <c r="O329" s="792">
        <f t="shared" si="19"/>
        <v>0</v>
      </c>
      <c r="P329" s="792">
        <f t="shared" si="20"/>
        <v>0</v>
      </c>
    </row>
    <row r="330" spans="3:16">
      <c r="C330" s="788">
        <f>IF(D269="","-",+C329+1)</f>
        <v>2068</v>
      </c>
      <c r="D330" s="736">
        <f t="shared" si="25"/>
        <v>0</v>
      </c>
      <c r="E330" s="789">
        <f t="shared" si="23"/>
        <v>0</v>
      </c>
      <c r="F330" s="789">
        <f t="shared" si="17"/>
        <v>0</v>
      </c>
      <c r="G330" s="736">
        <f t="shared" si="22"/>
        <v>0</v>
      </c>
      <c r="H330" s="794">
        <f>+J270*G330+E330</f>
        <v>0</v>
      </c>
      <c r="I330" s="795">
        <f>+J271*G330+E330</f>
        <v>0</v>
      </c>
      <c r="J330" s="792">
        <f t="shared" si="24"/>
        <v>0</v>
      </c>
      <c r="K330" s="792"/>
      <c r="L330" s="812"/>
      <c r="M330" s="792">
        <f t="shared" si="18"/>
        <v>0</v>
      </c>
      <c r="N330" s="812"/>
      <c r="O330" s="792">
        <f t="shared" si="19"/>
        <v>0</v>
      </c>
      <c r="P330" s="792">
        <f t="shared" si="20"/>
        <v>0</v>
      </c>
    </row>
    <row r="331" spans="3:16">
      <c r="C331" s="788">
        <f>IF(D269="","-",+C330+1)</f>
        <v>2069</v>
      </c>
      <c r="D331" s="736">
        <f t="shared" si="25"/>
        <v>0</v>
      </c>
      <c r="E331" s="789">
        <f t="shared" si="23"/>
        <v>0</v>
      </c>
      <c r="F331" s="789">
        <f t="shared" si="17"/>
        <v>0</v>
      </c>
      <c r="G331" s="736">
        <f t="shared" si="22"/>
        <v>0</v>
      </c>
      <c r="H331" s="794">
        <f>+J270*G331+E331</f>
        <v>0</v>
      </c>
      <c r="I331" s="795">
        <f>+J271*G331+E331</f>
        <v>0</v>
      </c>
      <c r="J331" s="792">
        <f t="shared" si="24"/>
        <v>0</v>
      </c>
      <c r="K331" s="792"/>
      <c r="L331" s="812"/>
      <c r="M331" s="792">
        <f t="shared" si="18"/>
        <v>0</v>
      </c>
      <c r="N331" s="812"/>
      <c r="O331" s="792">
        <f t="shared" si="19"/>
        <v>0</v>
      </c>
      <c r="P331" s="792">
        <f t="shared" si="20"/>
        <v>0</v>
      </c>
    </row>
    <row r="332" spans="3:16">
      <c r="C332" s="788">
        <f>IF(D269="","-",+C331+1)</f>
        <v>2070</v>
      </c>
      <c r="D332" s="736">
        <f t="shared" si="25"/>
        <v>0</v>
      </c>
      <c r="E332" s="789">
        <f t="shared" si="23"/>
        <v>0</v>
      </c>
      <c r="F332" s="789">
        <f t="shared" si="17"/>
        <v>0</v>
      </c>
      <c r="G332" s="736">
        <f t="shared" si="22"/>
        <v>0</v>
      </c>
      <c r="H332" s="794">
        <f>+J270*G332+E332</f>
        <v>0</v>
      </c>
      <c r="I332" s="795">
        <f>+J271*G332+E332</f>
        <v>0</v>
      </c>
      <c r="J332" s="792">
        <f t="shared" si="24"/>
        <v>0</v>
      </c>
      <c r="K332" s="792"/>
      <c r="L332" s="812"/>
      <c r="M332" s="792">
        <f t="shared" si="18"/>
        <v>0</v>
      </c>
      <c r="N332" s="812"/>
      <c r="O332" s="792">
        <f t="shared" si="19"/>
        <v>0</v>
      </c>
      <c r="P332" s="792">
        <f t="shared" si="20"/>
        <v>0</v>
      </c>
    </row>
    <row r="333" spans="3:16">
      <c r="C333" s="788">
        <f>IF(D269="","-",+C332+1)</f>
        <v>2071</v>
      </c>
      <c r="D333" s="736">
        <f t="shared" si="25"/>
        <v>0</v>
      </c>
      <c r="E333" s="789">
        <f t="shared" si="23"/>
        <v>0</v>
      </c>
      <c r="F333" s="789">
        <f t="shared" si="17"/>
        <v>0</v>
      </c>
      <c r="G333" s="736">
        <f t="shared" si="22"/>
        <v>0</v>
      </c>
      <c r="H333" s="794">
        <f>+J270*G333+E333</f>
        <v>0</v>
      </c>
      <c r="I333" s="795">
        <f>+J271*G333+E333</f>
        <v>0</v>
      </c>
      <c r="J333" s="792">
        <f t="shared" si="24"/>
        <v>0</v>
      </c>
      <c r="K333" s="792"/>
      <c r="L333" s="812"/>
      <c r="M333" s="792">
        <f t="shared" si="18"/>
        <v>0</v>
      </c>
      <c r="N333" s="812"/>
      <c r="O333" s="792">
        <f t="shared" si="19"/>
        <v>0</v>
      </c>
      <c r="P333" s="792">
        <f t="shared" si="20"/>
        <v>0</v>
      </c>
    </row>
    <row r="334" spans="3:16" ht="13.5" thickBot="1">
      <c r="C334" s="798">
        <f>IF(D269="","-",+C333+1)</f>
        <v>2072</v>
      </c>
      <c r="D334" s="799">
        <f t="shared" si="25"/>
        <v>0</v>
      </c>
      <c r="E334" s="800">
        <f t="shared" si="23"/>
        <v>0</v>
      </c>
      <c r="F334" s="800">
        <f t="shared" si="17"/>
        <v>0</v>
      </c>
      <c r="G334" s="799">
        <f t="shared" si="22"/>
        <v>0</v>
      </c>
      <c r="H334" s="801">
        <f>+J270*G334+E334</f>
        <v>0</v>
      </c>
      <c r="I334" s="801">
        <f>+J271*G334+E334</f>
        <v>0</v>
      </c>
      <c r="J334" s="802">
        <f t="shared" si="24"/>
        <v>0</v>
      </c>
      <c r="K334" s="792"/>
      <c r="L334" s="813"/>
      <c r="M334" s="802">
        <f t="shared" si="18"/>
        <v>0</v>
      </c>
      <c r="N334" s="813"/>
      <c r="O334" s="802">
        <f t="shared" si="19"/>
        <v>0</v>
      </c>
      <c r="P334" s="802">
        <f t="shared" si="20"/>
        <v>0</v>
      </c>
    </row>
    <row r="335" spans="3:16">
      <c r="C335" s="736" t="s">
        <v>83</v>
      </c>
      <c r="D335" s="730"/>
      <c r="E335" s="730">
        <f>SUM(E275:E334)</f>
        <v>8345674.5300000012</v>
      </c>
      <c r="F335" s="730"/>
      <c r="G335" s="730"/>
      <c r="H335" s="730">
        <f>SUM(H275:H334)</f>
        <v>30555842.180779237</v>
      </c>
      <c r="I335" s="730">
        <f>SUM(I275:I334)</f>
        <v>30555842.180779237</v>
      </c>
      <c r="J335" s="730">
        <f>SUM(J275:J334)</f>
        <v>0</v>
      </c>
      <c r="K335" s="730"/>
      <c r="L335" s="730"/>
      <c r="M335" s="730"/>
      <c r="N335" s="730"/>
      <c r="O335" s="730"/>
    </row>
    <row r="336" spans="3:16">
      <c r="D336" s="538"/>
      <c r="E336" s="313"/>
      <c r="F336" s="313"/>
      <c r="G336" s="313"/>
      <c r="H336" s="313"/>
      <c r="I336" s="708"/>
      <c r="J336" s="708"/>
      <c r="K336" s="730"/>
      <c r="L336" s="708"/>
      <c r="M336" s="708"/>
      <c r="N336" s="708"/>
      <c r="O336" s="708"/>
    </row>
    <row r="337" spans="1:17">
      <c r="C337" s="313" t="s">
        <v>13</v>
      </c>
      <c r="D337" s="538"/>
      <c r="E337" s="313"/>
      <c r="F337" s="313"/>
      <c r="G337" s="313"/>
      <c r="H337" s="313"/>
      <c r="I337" s="708"/>
      <c r="J337" s="708"/>
      <c r="K337" s="730"/>
      <c r="L337" s="708"/>
      <c r="M337" s="708"/>
      <c r="N337" s="708"/>
      <c r="O337" s="708"/>
    </row>
    <row r="338" spans="1:17">
      <c r="C338" s="313"/>
      <c r="D338" s="538"/>
      <c r="E338" s="313"/>
      <c r="F338" s="313"/>
      <c r="G338" s="313"/>
      <c r="H338" s="313"/>
      <c r="I338" s="708"/>
      <c r="J338" s="708"/>
      <c r="K338" s="730"/>
      <c r="L338" s="708"/>
      <c r="M338" s="708"/>
      <c r="N338" s="708"/>
      <c r="O338" s="708"/>
    </row>
    <row r="339" spans="1:17">
      <c r="C339" s="749" t="s">
        <v>14</v>
      </c>
      <c r="D339" s="736"/>
      <c r="E339" s="736"/>
      <c r="F339" s="736"/>
      <c r="G339" s="736"/>
      <c r="H339" s="730"/>
      <c r="I339" s="730"/>
      <c r="J339" s="804"/>
      <c r="K339" s="804"/>
      <c r="L339" s="804"/>
      <c r="M339" s="804"/>
      <c r="N339" s="804"/>
      <c r="O339" s="804"/>
    </row>
    <row r="340" spans="1:17">
      <c r="C340" s="735" t="s">
        <v>263</v>
      </c>
      <c r="D340" s="736"/>
      <c r="E340" s="736"/>
      <c r="F340" s="736"/>
      <c r="G340" s="736"/>
      <c r="H340" s="730"/>
      <c r="I340" s="730"/>
      <c r="J340" s="804"/>
      <c r="K340" s="804"/>
      <c r="L340" s="804"/>
      <c r="M340" s="804"/>
      <c r="N340" s="804"/>
      <c r="O340" s="804"/>
    </row>
    <row r="341" spans="1:17">
      <c r="C341" s="735" t="s">
        <v>84</v>
      </c>
      <c r="D341" s="736"/>
      <c r="E341" s="736"/>
      <c r="F341" s="736"/>
      <c r="G341" s="736"/>
      <c r="H341" s="730"/>
      <c r="I341" s="730"/>
      <c r="J341" s="804"/>
      <c r="K341" s="804"/>
      <c r="L341" s="804"/>
      <c r="M341" s="804"/>
      <c r="N341" s="804"/>
      <c r="O341" s="804"/>
    </row>
    <row r="343" spans="1:17" ht="20.25">
      <c r="A343" s="737" t="str">
        <f>""&amp;A268&amp;" Worksheet K -  ATRR TRUE-UP Calculation for PJM Projects Charged to Benefiting Zones"</f>
        <v xml:space="preserve"> Worksheet K -  ATRR TRUE-UP Calculation for PJM Projects Charged to Benefiting Zones</v>
      </c>
      <c r="B343" s="347"/>
      <c r="C343" s="725"/>
      <c r="D343" s="538"/>
      <c r="E343" s="313"/>
      <c r="F343" s="707"/>
      <c r="G343" s="707"/>
      <c r="H343" s="313"/>
      <c r="I343" s="708"/>
      <c r="L343" s="564"/>
      <c r="M343" s="564"/>
      <c r="N343" s="564"/>
      <c r="O343" s="653" t="str">
        <f>"Page "&amp;SUM(Q$8:Q343)&amp;" of "</f>
        <v xml:space="preserve">Page 5 of </v>
      </c>
      <c r="P343" s="654">
        <f>COUNT(Q$8:Q$57703)</f>
        <v>22</v>
      </c>
      <c r="Q343" s="655">
        <v>1</v>
      </c>
    </row>
    <row r="344" spans="1:17">
      <c r="B344" s="347"/>
      <c r="C344" s="313"/>
      <c r="D344" s="538"/>
      <c r="E344" s="313"/>
      <c r="F344" s="313"/>
      <c r="G344" s="313"/>
      <c r="H344" s="313"/>
      <c r="I344" s="708"/>
      <c r="J344" s="313"/>
      <c r="K344" s="426"/>
    </row>
    <row r="345" spans="1:17" ht="18">
      <c r="B345" s="657" t="s">
        <v>466</v>
      </c>
      <c r="C345" s="739" t="s">
        <v>85</v>
      </c>
      <c r="D345" s="538"/>
      <c r="E345" s="313"/>
      <c r="F345" s="313"/>
      <c r="G345" s="313"/>
      <c r="H345" s="313"/>
      <c r="I345" s="708"/>
      <c r="J345" s="708"/>
      <c r="K345" s="730"/>
      <c r="L345" s="708"/>
      <c r="M345" s="708"/>
      <c r="N345" s="708"/>
      <c r="O345" s="708"/>
    </row>
    <row r="346" spans="1:17" ht="18.75">
      <c r="B346" s="657"/>
      <c r="C346" s="656"/>
      <c r="D346" s="538"/>
      <c r="E346" s="313"/>
      <c r="F346" s="313"/>
      <c r="G346" s="313"/>
      <c r="H346" s="313"/>
      <c r="I346" s="708"/>
      <c r="J346" s="708"/>
      <c r="K346" s="730"/>
      <c r="L346" s="708"/>
      <c r="M346" s="708"/>
      <c r="N346" s="708"/>
      <c r="O346" s="708"/>
    </row>
    <row r="347" spans="1:17" ht="18.75">
      <c r="B347" s="657"/>
      <c r="C347" s="656" t="s">
        <v>86</v>
      </c>
      <c r="D347" s="538"/>
      <c r="E347" s="313"/>
      <c r="F347" s="313"/>
      <c r="G347" s="313"/>
      <c r="H347" s="313"/>
      <c r="I347" s="708"/>
      <c r="J347" s="708"/>
      <c r="K347" s="730"/>
      <c r="L347" s="708"/>
      <c r="M347" s="708"/>
      <c r="N347" s="708"/>
      <c r="O347" s="708"/>
    </row>
    <row r="348" spans="1:17" ht="15.75" thickBot="1">
      <c r="C348" s="239"/>
      <c r="D348" s="538"/>
      <c r="E348" s="313"/>
      <c r="F348" s="313"/>
      <c r="G348" s="313"/>
      <c r="H348" s="313"/>
      <c r="I348" s="708"/>
      <c r="J348" s="708"/>
      <c r="K348" s="730"/>
      <c r="L348" s="708"/>
      <c r="M348" s="708"/>
      <c r="N348" s="708"/>
      <c r="O348" s="708"/>
    </row>
    <row r="349" spans="1:17" ht="15.75">
      <c r="C349" s="659" t="s">
        <v>87</v>
      </c>
      <c r="D349" s="538"/>
      <c r="E349" s="313"/>
      <c r="F349" s="313"/>
      <c r="G349" s="313"/>
      <c r="H349" s="806"/>
      <c r="I349" s="313" t="s">
        <v>66</v>
      </c>
      <c r="J349" s="313"/>
      <c r="K349" s="426"/>
      <c r="L349" s="835">
        <f>+J355</f>
        <v>2023</v>
      </c>
      <c r="M349" s="816" t="s">
        <v>45</v>
      </c>
      <c r="N349" s="816" t="s">
        <v>46</v>
      </c>
      <c r="O349" s="817" t="s">
        <v>47</v>
      </c>
    </row>
    <row r="350" spans="1:17" ht="15.75">
      <c r="C350" s="659"/>
      <c r="D350" s="538"/>
      <c r="E350" s="313"/>
      <c r="F350" s="313"/>
      <c r="H350" s="313"/>
      <c r="I350" s="744"/>
      <c r="J350" s="744"/>
      <c r="K350" s="745"/>
      <c r="L350" s="836" t="s">
        <v>235</v>
      </c>
      <c r="M350" s="837">
        <f>VLOOKUP(J355,C362:P421,10)</f>
        <v>601559.41241998423</v>
      </c>
      <c r="N350" s="837">
        <f>VLOOKUP(J355,C362:P421,12)</f>
        <v>601559.41241998423</v>
      </c>
      <c r="O350" s="838">
        <f>+N350-M350</f>
        <v>0</v>
      </c>
    </row>
    <row r="351" spans="1:17" ht="12.95" customHeight="1">
      <c r="C351" s="749" t="s">
        <v>88</v>
      </c>
      <c r="D351" s="1537" t="s">
        <v>811</v>
      </c>
      <c r="E351" s="1537"/>
      <c r="F351" s="1537"/>
      <c r="G351" s="1537"/>
      <c r="H351" s="1537"/>
      <c r="I351" s="1537"/>
      <c r="J351" s="708"/>
      <c r="K351" s="730"/>
      <c r="L351" s="836" t="s">
        <v>236</v>
      </c>
      <c r="M351" s="839">
        <f>VLOOKUP(J355,C362:P421,6)</f>
        <v>576253.49328930187</v>
      </c>
      <c r="N351" s="839">
        <f>VLOOKUP(J355,C362:P421,7)</f>
        <v>576253.49328930187</v>
      </c>
      <c r="O351" s="840">
        <f>+N351-M351</f>
        <v>0</v>
      </c>
    </row>
    <row r="352" spans="1:17" ht="13.5" thickBot="1">
      <c r="C352" s="753"/>
      <c r="D352" s="1537"/>
      <c r="E352" s="1537"/>
      <c r="F352" s="1537"/>
      <c r="G352" s="1537"/>
      <c r="H352" s="1537"/>
      <c r="I352" s="1537"/>
      <c r="J352" s="708"/>
      <c r="K352" s="730"/>
      <c r="L352" s="772" t="s">
        <v>237</v>
      </c>
      <c r="M352" s="841">
        <f>+M351-M350</f>
        <v>-25305.919130682363</v>
      </c>
      <c r="N352" s="841">
        <f>+N351-N350</f>
        <v>-25305.919130682363</v>
      </c>
      <c r="O352" s="842">
        <f>+O351-O350</f>
        <v>0</v>
      </c>
    </row>
    <row r="353" spans="2:16" ht="13.5" thickBot="1">
      <c r="C353" s="756"/>
      <c r="D353" s="757"/>
      <c r="E353" s="755"/>
      <c r="F353" s="755"/>
      <c r="G353" s="755"/>
      <c r="H353" s="755"/>
      <c r="I353" s="755"/>
      <c r="J353" s="755"/>
      <c r="K353" s="758"/>
      <c r="L353" s="755"/>
      <c r="M353" s="755"/>
      <c r="N353" s="755"/>
      <c r="O353" s="755"/>
      <c r="P353" s="347"/>
    </row>
    <row r="354" spans="2:16" ht="13.5" thickBot="1">
      <c r="C354" s="759" t="s">
        <v>89</v>
      </c>
      <c r="D354" s="760"/>
      <c r="E354" s="760"/>
      <c r="F354" s="760"/>
      <c r="G354" s="760"/>
      <c r="H354" s="760"/>
      <c r="I354" s="760"/>
      <c r="J354" s="760"/>
      <c r="K354" s="762"/>
      <c r="P354" s="763"/>
    </row>
    <row r="355" spans="2:16" ht="15">
      <c r="C355" s="764" t="s">
        <v>67</v>
      </c>
      <c r="D355" s="808">
        <v>4305128.67</v>
      </c>
      <c r="E355" s="725" t="s">
        <v>68</v>
      </c>
      <c r="H355" s="765"/>
      <c r="I355" s="765"/>
      <c r="J355" s="766">
        <f>$J$93</f>
        <v>2023</v>
      </c>
      <c r="K355" s="554"/>
      <c r="L355" s="1536" t="s">
        <v>69</v>
      </c>
      <c r="M355" s="1536"/>
      <c r="N355" s="1536"/>
      <c r="O355" s="1536"/>
      <c r="P355" s="426"/>
    </row>
    <row r="356" spans="2:16">
      <c r="C356" s="764" t="s">
        <v>70</v>
      </c>
      <c r="D356" s="809">
        <v>2013</v>
      </c>
      <c r="E356" s="764" t="s">
        <v>71</v>
      </c>
      <c r="F356" s="765"/>
      <c r="G356" s="765"/>
      <c r="I356" s="172"/>
      <c r="J356" s="810">
        <f>IF(H349="",0,$F$17)</f>
        <v>0</v>
      </c>
      <c r="K356" s="767"/>
      <c r="L356" s="730" t="s">
        <v>277</v>
      </c>
      <c r="P356" s="426"/>
    </row>
    <row r="357" spans="2:16">
      <c r="C357" s="764" t="s">
        <v>72</v>
      </c>
      <c r="D357" s="808">
        <v>12</v>
      </c>
      <c r="E357" s="764" t="s">
        <v>73</v>
      </c>
      <c r="F357" s="765"/>
      <c r="G357" s="765"/>
      <c r="I357" s="172"/>
      <c r="J357" s="768">
        <f>$F$70</f>
        <v>0.14450383244078713</v>
      </c>
      <c r="K357" s="769"/>
      <c r="L357" s="313" t="str">
        <f>"          INPUT TRUE-UP ARR (WITH &amp; WITHOUT INCENTIVES) FROM EACH PRIOR YEAR"</f>
        <v xml:space="preserve">          INPUT TRUE-UP ARR (WITH &amp; WITHOUT INCENTIVES) FROM EACH PRIOR YEAR</v>
      </c>
      <c r="P357" s="426"/>
    </row>
    <row r="358" spans="2:16">
      <c r="C358" s="764" t="s">
        <v>74</v>
      </c>
      <c r="D358" s="770">
        <f>H$79</f>
        <v>35</v>
      </c>
      <c r="E358" s="764" t="s">
        <v>75</v>
      </c>
      <c r="F358" s="765"/>
      <c r="G358" s="765"/>
      <c r="I358" s="172"/>
      <c r="J358" s="768">
        <f>IF(H349="",+J357,$F$69)</f>
        <v>0.14450383244078713</v>
      </c>
      <c r="K358" s="771"/>
      <c r="L358" s="313" t="s">
        <v>157</v>
      </c>
      <c r="M358" s="771"/>
      <c r="N358" s="771"/>
      <c r="O358" s="771"/>
      <c r="P358" s="426"/>
    </row>
    <row r="359" spans="2:16" ht="13.5" thickBot="1">
      <c r="C359" s="764" t="s">
        <v>76</v>
      </c>
      <c r="D359" s="807" t="s">
        <v>808</v>
      </c>
      <c r="E359" s="772" t="s">
        <v>77</v>
      </c>
      <c r="F359" s="773"/>
      <c r="G359" s="773"/>
      <c r="H359" s="774"/>
      <c r="I359" s="774"/>
      <c r="J359" s="752">
        <f>IF(D355=0,0,D355/D358)</f>
        <v>123003.67628571429</v>
      </c>
      <c r="K359" s="730"/>
      <c r="L359" s="730" t="s">
        <v>158</v>
      </c>
      <c r="M359" s="730"/>
      <c r="N359" s="730"/>
      <c r="O359" s="730"/>
      <c r="P359" s="426"/>
    </row>
    <row r="360" spans="2:16" ht="38.25">
      <c r="B360" s="845"/>
      <c r="C360" s="775" t="s">
        <v>67</v>
      </c>
      <c r="D360" s="776" t="s">
        <v>78</v>
      </c>
      <c r="E360" s="777" t="s">
        <v>79</v>
      </c>
      <c r="F360" s="776" t="s">
        <v>80</v>
      </c>
      <c r="G360" s="776" t="s">
        <v>238</v>
      </c>
      <c r="H360" s="777" t="s">
        <v>151</v>
      </c>
      <c r="I360" s="778" t="s">
        <v>151</v>
      </c>
      <c r="J360" s="775" t="s">
        <v>90</v>
      </c>
      <c r="K360" s="779"/>
      <c r="L360" s="777" t="s">
        <v>153</v>
      </c>
      <c r="M360" s="777" t="s">
        <v>159</v>
      </c>
      <c r="N360" s="777" t="s">
        <v>153</v>
      </c>
      <c r="O360" s="777" t="s">
        <v>161</v>
      </c>
      <c r="P360" s="777" t="s">
        <v>81</v>
      </c>
    </row>
    <row r="361" spans="2:16" ht="13.5" thickBot="1">
      <c r="C361" s="781" t="s">
        <v>469</v>
      </c>
      <c r="D361" s="782" t="s">
        <v>470</v>
      </c>
      <c r="E361" s="781" t="s">
        <v>363</v>
      </c>
      <c r="F361" s="782" t="s">
        <v>470</v>
      </c>
      <c r="G361" s="782" t="s">
        <v>470</v>
      </c>
      <c r="H361" s="783" t="s">
        <v>93</v>
      </c>
      <c r="I361" s="784" t="s">
        <v>95</v>
      </c>
      <c r="J361" s="785" t="s">
        <v>15</v>
      </c>
      <c r="K361" s="786"/>
      <c r="L361" s="783" t="s">
        <v>82</v>
      </c>
      <c r="M361" s="783" t="s">
        <v>82</v>
      </c>
      <c r="N361" s="783" t="s">
        <v>255</v>
      </c>
      <c r="O361" s="783" t="s">
        <v>255</v>
      </c>
      <c r="P361" s="783" t="s">
        <v>255</v>
      </c>
    </row>
    <row r="362" spans="2:16">
      <c r="C362" s="788">
        <f>IF(D356= "","-",D356)</f>
        <v>2013</v>
      </c>
      <c r="D362" s="736">
        <f>+D355</f>
        <v>4305128.67</v>
      </c>
      <c r="E362" s="794">
        <f>+J359/12*(12-D357)</f>
        <v>0</v>
      </c>
      <c r="F362" s="843">
        <f t="shared" ref="F362:F421" si="26">+D362-E362</f>
        <v>4305128.67</v>
      </c>
      <c r="G362" s="736">
        <f>+(D362+F362)/2</f>
        <v>4305128.67</v>
      </c>
      <c r="H362" s="790">
        <f>+J357*G362+E362</f>
        <v>622107.59196570877</v>
      </c>
      <c r="I362" s="791">
        <f>+J358*G362+E362</f>
        <v>622107.59196570877</v>
      </c>
      <c r="J362" s="792">
        <f>+I362-H362</f>
        <v>0</v>
      </c>
      <c r="K362" s="792"/>
      <c r="L362" s="811">
        <v>244284</v>
      </c>
      <c r="M362" s="844">
        <f t="shared" ref="M362:M421" si="27">IF(L362&lt;&gt;0,+H362-L362,0)</f>
        <v>377823.59196570877</v>
      </c>
      <c r="N362" s="811">
        <v>244284</v>
      </c>
      <c r="O362" s="844">
        <f t="shared" ref="O362:O421" si="28">IF(N362&lt;&gt;0,+I362-N362,0)</f>
        <v>377823.59196570877</v>
      </c>
      <c r="P362" s="844">
        <f t="shared" ref="P362:P421" si="29">+O362-M362</f>
        <v>0</v>
      </c>
    </row>
    <row r="363" spans="2:16">
      <c r="C363" s="788">
        <f>IF(D356="","-",+C362+1)</f>
        <v>2014</v>
      </c>
      <c r="D363" s="736">
        <f t="shared" ref="D363:D415" si="30">F362</f>
        <v>4305128.67</v>
      </c>
      <c r="E363" s="789">
        <f>IF(D363&gt;$J$359,$J$359,D363)</f>
        <v>123003.67628571429</v>
      </c>
      <c r="F363" s="789">
        <f t="shared" si="26"/>
        <v>4182124.9937142855</v>
      </c>
      <c r="G363" s="736">
        <f t="shared" ref="G363:G421" si="31">+(D363+F363)/2</f>
        <v>4243626.831857143</v>
      </c>
      <c r="H363" s="794">
        <f>+J357*G363+E363</f>
        <v>736224.01693762722</v>
      </c>
      <c r="I363" s="795">
        <f>+J358*G363+E363</f>
        <v>736224.01693762722</v>
      </c>
      <c r="J363" s="792">
        <f>+I363-H363</f>
        <v>0</v>
      </c>
      <c r="K363" s="792"/>
      <c r="L363" s="812">
        <v>568269</v>
      </c>
      <c r="M363" s="792">
        <f t="shared" si="27"/>
        <v>167955.01693762722</v>
      </c>
      <c r="N363" s="812">
        <v>568269</v>
      </c>
      <c r="O363" s="792">
        <f t="shared" si="28"/>
        <v>167955.01693762722</v>
      </c>
      <c r="P363" s="792">
        <f t="shared" si="29"/>
        <v>0</v>
      </c>
    </row>
    <row r="364" spans="2:16">
      <c r="C364" s="788">
        <f>IF(D356="","-",+C363+1)</f>
        <v>2015</v>
      </c>
      <c r="D364" s="736">
        <f t="shared" si="30"/>
        <v>4182124.9937142855</v>
      </c>
      <c r="E364" s="789">
        <f t="shared" ref="E364:E420" si="32">IF(D364&gt;$J$359,$J$359,D364)</f>
        <v>123003.67628571429</v>
      </c>
      <c r="F364" s="789">
        <f t="shared" si="26"/>
        <v>4059121.3174285712</v>
      </c>
      <c r="G364" s="736">
        <f t="shared" si="31"/>
        <v>4120623.1555714281</v>
      </c>
      <c r="H364" s="794">
        <f>+J357*G364+E364</f>
        <v>718449.51431003539</v>
      </c>
      <c r="I364" s="795">
        <f>+J358*G364+E364</f>
        <v>718449.51431003539</v>
      </c>
      <c r="J364" s="792">
        <f t="shared" ref="J364:J421" si="33">+I364-H364</f>
        <v>0</v>
      </c>
      <c r="K364" s="792"/>
      <c r="L364" s="812">
        <v>554603</v>
      </c>
      <c r="M364" s="792">
        <f t="shared" si="27"/>
        <v>163846.51431003539</v>
      </c>
      <c r="N364" s="812">
        <v>554603</v>
      </c>
      <c r="O364" s="792">
        <f t="shared" si="28"/>
        <v>163846.51431003539</v>
      </c>
      <c r="P364" s="792">
        <f t="shared" si="29"/>
        <v>0</v>
      </c>
    </row>
    <row r="365" spans="2:16">
      <c r="C365" s="788">
        <f>IF(D356="","-",+C364+1)</f>
        <v>2016</v>
      </c>
      <c r="D365" s="736">
        <f t="shared" si="30"/>
        <v>4059121.3174285712</v>
      </c>
      <c r="E365" s="789">
        <f t="shared" si="32"/>
        <v>123003.67628571429</v>
      </c>
      <c r="F365" s="789">
        <f t="shared" si="26"/>
        <v>3936117.6411428568</v>
      </c>
      <c r="G365" s="736">
        <f t="shared" si="31"/>
        <v>3997619.4792857142</v>
      </c>
      <c r="H365" s="794">
        <f>+J357*G365+E365</f>
        <v>700675.01168244379</v>
      </c>
      <c r="I365" s="795">
        <f>+J358*G365+E365</f>
        <v>700675.01168244379</v>
      </c>
      <c r="J365" s="792">
        <f t="shared" si="33"/>
        <v>0</v>
      </c>
      <c r="K365" s="792"/>
      <c r="L365" s="812">
        <v>606319</v>
      </c>
      <c r="M365" s="792">
        <f t="shared" si="27"/>
        <v>94356.011682443786</v>
      </c>
      <c r="N365" s="812">
        <v>606319</v>
      </c>
      <c r="O365" s="792">
        <f t="shared" si="28"/>
        <v>94356.011682443786</v>
      </c>
      <c r="P365" s="792">
        <f t="shared" si="29"/>
        <v>0</v>
      </c>
    </row>
    <row r="366" spans="2:16">
      <c r="C366" s="788">
        <f>IF(D356="","-",+C365+1)</f>
        <v>2017</v>
      </c>
      <c r="D366" s="736">
        <f t="shared" si="30"/>
        <v>3936117.6411428568</v>
      </c>
      <c r="E366" s="789">
        <f t="shared" si="32"/>
        <v>123003.67628571429</v>
      </c>
      <c r="F366" s="789">
        <f t="shared" si="26"/>
        <v>3813113.9648571424</v>
      </c>
      <c r="G366" s="736">
        <f t="shared" si="31"/>
        <v>3874615.8029999994</v>
      </c>
      <c r="H366" s="794">
        <f>+J357*G366+E366</f>
        <v>682900.50905485207</v>
      </c>
      <c r="I366" s="795">
        <f>+J358*G366+E366</f>
        <v>682900.50905485207</v>
      </c>
      <c r="J366" s="792">
        <f t="shared" si="33"/>
        <v>0</v>
      </c>
      <c r="K366" s="792"/>
      <c r="L366" s="812">
        <v>725644</v>
      </c>
      <c r="M366" s="792">
        <f t="shared" si="27"/>
        <v>-42743.490945147933</v>
      </c>
      <c r="N366" s="812">
        <v>725644</v>
      </c>
      <c r="O366" s="792">
        <f t="shared" si="28"/>
        <v>-42743.490945147933</v>
      </c>
      <c r="P366" s="792">
        <f t="shared" si="29"/>
        <v>0</v>
      </c>
    </row>
    <row r="367" spans="2:16">
      <c r="C367" s="788">
        <f>IF(D356="","-",+C366+1)</f>
        <v>2018</v>
      </c>
      <c r="D367" s="1402">
        <f t="shared" si="30"/>
        <v>3813113.9648571424</v>
      </c>
      <c r="E367" s="789">
        <f t="shared" si="32"/>
        <v>123003.67628571429</v>
      </c>
      <c r="F367" s="789">
        <f t="shared" si="26"/>
        <v>3690110.288571428</v>
      </c>
      <c r="G367" s="736">
        <f t="shared" si="31"/>
        <v>3751612.1267142855</v>
      </c>
      <c r="H367" s="794">
        <f>+J357*G367+E367</f>
        <v>665126.00642726046</v>
      </c>
      <c r="I367" s="795">
        <f>+J358*G367+E367</f>
        <v>665126.00642726046</v>
      </c>
      <c r="J367" s="792">
        <f t="shared" si="33"/>
        <v>0</v>
      </c>
      <c r="K367" s="792"/>
      <c r="L367" s="812">
        <v>644841</v>
      </c>
      <c r="M367" s="792">
        <f t="shared" si="27"/>
        <v>20285.006427260465</v>
      </c>
      <c r="N367" s="812">
        <v>644841</v>
      </c>
      <c r="O367" s="792">
        <f t="shared" si="28"/>
        <v>20285.006427260465</v>
      </c>
      <c r="P367" s="792">
        <f t="shared" si="29"/>
        <v>0</v>
      </c>
    </row>
    <row r="368" spans="2:16">
      <c r="C368" s="788">
        <f>IF(D356="","-",+C367+1)</f>
        <v>2019</v>
      </c>
      <c r="D368" s="1321">
        <f t="shared" si="30"/>
        <v>3690110.288571428</v>
      </c>
      <c r="E368" s="789">
        <f t="shared" si="32"/>
        <v>123003.67628571429</v>
      </c>
      <c r="F368" s="789">
        <f t="shared" si="26"/>
        <v>3567106.6122857137</v>
      </c>
      <c r="G368" s="736">
        <f t="shared" si="31"/>
        <v>3628608.4504285706</v>
      </c>
      <c r="H368" s="794">
        <f>+J357*G368+E368</f>
        <v>647351.50379966863</v>
      </c>
      <c r="I368" s="795">
        <f>+J358*G368+E368</f>
        <v>647351.50379966863</v>
      </c>
      <c r="J368" s="792">
        <f t="shared" si="33"/>
        <v>0</v>
      </c>
      <c r="K368" s="792"/>
      <c r="L368" s="812">
        <v>659890.65597730549</v>
      </c>
      <c r="M368" s="792">
        <f t="shared" si="27"/>
        <v>-12539.152177636861</v>
      </c>
      <c r="N368" s="812">
        <v>659890.65597730549</v>
      </c>
      <c r="O368" s="792">
        <f t="shared" si="28"/>
        <v>-12539.152177636861</v>
      </c>
      <c r="P368" s="792">
        <f t="shared" si="29"/>
        <v>0</v>
      </c>
    </row>
    <row r="369" spans="3:16">
      <c r="C369" s="788">
        <f>IF(D356="","-",+C368+1)</f>
        <v>2020</v>
      </c>
      <c r="D369" s="1321">
        <f t="shared" si="30"/>
        <v>3567106.6122857137</v>
      </c>
      <c r="E369" s="789">
        <f t="shared" si="32"/>
        <v>123003.67628571429</v>
      </c>
      <c r="F369" s="789">
        <f t="shared" si="26"/>
        <v>3444102.9359999993</v>
      </c>
      <c r="G369" s="736">
        <f t="shared" si="31"/>
        <v>3505604.7741428567</v>
      </c>
      <c r="H369" s="794">
        <f>+J357*G369+E369</f>
        <v>629577.00117207703</v>
      </c>
      <c r="I369" s="795">
        <f>+J358*G369+E369</f>
        <v>629577.00117207703</v>
      </c>
      <c r="J369" s="792">
        <f t="shared" si="33"/>
        <v>0</v>
      </c>
      <c r="K369" s="792"/>
      <c r="L369" s="812">
        <v>689651.51500122016</v>
      </c>
      <c r="M369" s="792">
        <f t="shared" si="27"/>
        <v>-60074.513829143136</v>
      </c>
      <c r="N369" s="812">
        <v>689651.51500122016</v>
      </c>
      <c r="O369" s="792">
        <f t="shared" si="28"/>
        <v>-60074.513829143136</v>
      </c>
      <c r="P369" s="792">
        <f t="shared" si="29"/>
        <v>0</v>
      </c>
    </row>
    <row r="370" spans="3:16">
      <c r="C370" s="788">
        <f>IF(D356="","-",+C369+1)</f>
        <v>2021</v>
      </c>
      <c r="D370" s="736">
        <f t="shared" si="30"/>
        <v>3444102.9359999993</v>
      </c>
      <c r="E370" s="789">
        <f t="shared" si="32"/>
        <v>123003.67628571429</v>
      </c>
      <c r="F370" s="789">
        <f t="shared" si="26"/>
        <v>3321099.2597142849</v>
      </c>
      <c r="G370" s="736">
        <f t="shared" si="31"/>
        <v>3382601.0978571419</v>
      </c>
      <c r="H370" s="794">
        <f>+J357*G370+E370</f>
        <v>611802.49854448531</v>
      </c>
      <c r="I370" s="795">
        <f>+J358*G370+E370</f>
        <v>611802.49854448531</v>
      </c>
      <c r="J370" s="792">
        <f t="shared" si="33"/>
        <v>0</v>
      </c>
      <c r="K370" s="792"/>
      <c r="L370" s="812">
        <v>620498.57453110628</v>
      </c>
      <c r="M370" s="792">
        <f t="shared" si="27"/>
        <v>-8696.0759866209701</v>
      </c>
      <c r="N370" s="812">
        <v>620498.57453110628</v>
      </c>
      <c r="O370" s="792">
        <f t="shared" si="28"/>
        <v>-8696.0759866209701</v>
      </c>
      <c r="P370" s="792">
        <f t="shared" si="29"/>
        <v>0</v>
      </c>
    </row>
    <row r="371" spans="3:16">
      <c r="C371" s="788">
        <f>IF(D356="","-",+C370+1)</f>
        <v>2022</v>
      </c>
      <c r="D371" s="736">
        <f t="shared" si="30"/>
        <v>3321099.2597142849</v>
      </c>
      <c r="E371" s="789">
        <f t="shared" si="32"/>
        <v>123003.67628571429</v>
      </c>
      <c r="F371" s="789">
        <f t="shared" si="26"/>
        <v>3198095.5834285705</v>
      </c>
      <c r="G371" s="736">
        <f t="shared" si="31"/>
        <v>3259597.421571428</v>
      </c>
      <c r="H371" s="794">
        <f>+J357*G371+E371</f>
        <v>594027.99591689371</v>
      </c>
      <c r="I371" s="795">
        <f>+J358*G371+E371</f>
        <v>594027.99591689371</v>
      </c>
      <c r="J371" s="792">
        <f t="shared" si="33"/>
        <v>0</v>
      </c>
      <c r="K371" s="792"/>
      <c r="L371" s="812">
        <v>618434.82858025585</v>
      </c>
      <c r="M371" s="792">
        <f t="shared" si="27"/>
        <v>-24406.832663362147</v>
      </c>
      <c r="N371" s="812">
        <v>618434.82858025585</v>
      </c>
      <c r="O371" s="792">
        <f t="shared" si="28"/>
        <v>-24406.832663362147</v>
      </c>
      <c r="P371" s="792">
        <f t="shared" si="29"/>
        <v>0</v>
      </c>
    </row>
    <row r="372" spans="3:16">
      <c r="C372" s="788">
        <f>IF(D356="","-",+C371+1)</f>
        <v>2023</v>
      </c>
      <c r="D372" s="736">
        <f t="shared" si="30"/>
        <v>3198095.5834285705</v>
      </c>
      <c r="E372" s="789">
        <f t="shared" si="32"/>
        <v>123003.67628571429</v>
      </c>
      <c r="F372" s="789">
        <f t="shared" si="26"/>
        <v>3075091.9071428562</v>
      </c>
      <c r="G372" s="736">
        <f t="shared" si="31"/>
        <v>3136593.7452857131</v>
      </c>
      <c r="H372" s="794">
        <f>+J357*G372+E372</f>
        <v>576253.49328930187</v>
      </c>
      <c r="I372" s="795">
        <f>+J358*G372+E372</f>
        <v>576253.49328930187</v>
      </c>
      <c r="J372" s="792">
        <f t="shared" si="33"/>
        <v>0</v>
      </c>
      <c r="K372" s="792"/>
      <c r="L372" s="812">
        <v>601559.41241998423</v>
      </c>
      <c r="M372" s="792">
        <f t="shared" si="27"/>
        <v>-25305.919130682363</v>
      </c>
      <c r="N372" s="812">
        <v>601559.41241998423</v>
      </c>
      <c r="O372" s="792">
        <f t="shared" si="28"/>
        <v>-25305.919130682363</v>
      </c>
      <c r="P372" s="792">
        <f t="shared" si="29"/>
        <v>0</v>
      </c>
    </row>
    <row r="373" spans="3:16">
      <c r="C373" s="788">
        <f>IF(D356="","-",+C372+1)</f>
        <v>2024</v>
      </c>
      <c r="D373" s="736">
        <f t="shared" si="30"/>
        <v>3075091.9071428562</v>
      </c>
      <c r="E373" s="789">
        <f t="shared" si="32"/>
        <v>123003.67628571429</v>
      </c>
      <c r="F373" s="789">
        <f t="shared" si="26"/>
        <v>2952088.2308571418</v>
      </c>
      <c r="G373" s="736">
        <f t="shared" si="31"/>
        <v>3013590.0689999992</v>
      </c>
      <c r="H373" s="794">
        <f>+J357*G373+E373</f>
        <v>558478.99066171027</v>
      </c>
      <c r="I373" s="795">
        <f>+J358*G373+E373</f>
        <v>558478.99066171027</v>
      </c>
      <c r="J373" s="792">
        <f t="shared" si="33"/>
        <v>0</v>
      </c>
      <c r="K373" s="792"/>
      <c r="L373" s="812"/>
      <c r="M373" s="792">
        <f t="shared" si="27"/>
        <v>0</v>
      </c>
      <c r="N373" s="812"/>
      <c r="O373" s="792">
        <f t="shared" si="28"/>
        <v>0</v>
      </c>
      <c r="P373" s="792">
        <f t="shared" si="29"/>
        <v>0</v>
      </c>
    </row>
    <row r="374" spans="3:16">
      <c r="C374" s="788">
        <f>IF(D356="","-",+C373+1)</f>
        <v>2025</v>
      </c>
      <c r="D374" s="736">
        <f t="shared" si="30"/>
        <v>2952088.2308571418</v>
      </c>
      <c r="E374" s="789">
        <f t="shared" si="32"/>
        <v>123003.67628571429</v>
      </c>
      <c r="F374" s="789">
        <f t="shared" si="26"/>
        <v>2829084.5545714274</v>
      </c>
      <c r="G374" s="736">
        <f t="shared" si="31"/>
        <v>2890586.3927142844</v>
      </c>
      <c r="H374" s="794">
        <f>+J357*G374+E374</f>
        <v>540704.48803411855</v>
      </c>
      <c r="I374" s="795">
        <f>+J358*G374+E374</f>
        <v>540704.48803411855</v>
      </c>
      <c r="J374" s="792">
        <f t="shared" si="33"/>
        <v>0</v>
      </c>
      <c r="K374" s="792"/>
      <c r="L374" s="812"/>
      <c r="M374" s="792">
        <f t="shared" si="27"/>
        <v>0</v>
      </c>
      <c r="N374" s="812"/>
      <c r="O374" s="792">
        <f t="shared" si="28"/>
        <v>0</v>
      </c>
      <c r="P374" s="792">
        <f t="shared" si="29"/>
        <v>0</v>
      </c>
    </row>
    <row r="375" spans="3:16">
      <c r="C375" s="788">
        <f>IF(D356="","-",+C374+1)</f>
        <v>2026</v>
      </c>
      <c r="D375" s="736">
        <f t="shared" si="30"/>
        <v>2829084.5545714274</v>
      </c>
      <c r="E375" s="789">
        <f t="shared" si="32"/>
        <v>123003.67628571429</v>
      </c>
      <c r="F375" s="789">
        <f t="shared" si="26"/>
        <v>2706080.878285713</v>
      </c>
      <c r="G375" s="736">
        <f t="shared" si="31"/>
        <v>2767582.7164285704</v>
      </c>
      <c r="H375" s="794">
        <f>+J357*G375+E375</f>
        <v>522929.98540652695</v>
      </c>
      <c r="I375" s="795">
        <f>+J358*G375+E375</f>
        <v>522929.98540652695</v>
      </c>
      <c r="J375" s="792">
        <f t="shared" si="33"/>
        <v>0</v>
      </c>
      <c r="K375" s="792"/>
      <c r="L375" s="812"/>
      <c r="M375" s="792">
        <f t="shared" si="27"/>
        <v>0</v>
      </c>
      <c r="N375" s="812"/>
      <c r="O375" s="792">
        <f t="shared" si="28"/>
        <v>0</v>
      </c>
      <c r="P375" s="792">
        <f t="shared" si="29"/>
        <v>0</v>
      </c>
    </row>
    <row r="376" spans="3:16">
      <c r="C376" s="788">
        <f>IF(D356="","-",+C375+1)</f>
        <v>2027</v>
      </c>
      <c r="D376" s="736">
        <f t="shared" si="30"/>
        <v>2706080.878285713</v>
      </c>
      <c r="E376" s="789">
        <f t="shared" si="32"/>
        <v>123003.67628571429</v>
      </c>
      <c r="F376" s="789">
        <f t="shared" si="26"/>
        <v>2583077.2019999987</v>
      </c>
      <c r="G376" s="736">
        <f t="shared" si="31"/>
        <v>2644579.0401428556</v>
      </c>
      <c r="H376" s="794">
        <f>+J357*G376+E376</f>
        <v>505155.48277893511</v>
      </c>
      <c r="I376" s="795">
        <f>+J358*G376+E376</f>
        <v>505155.48277893511</v>
      </c>
      <c r="J376" s="792">
        <f t="shared" si="33"/>
        <v>0</v>
      </c>
      <c r="K376" s="792"/>
      <c r="L376" s="812"/>
      <c r="M376" s="792">
        <f t="shared" si="27"/>
        <v>0</v>
      </c>
      <c r="N376" s="812"/>
      <c r="O376" s="792">
        <f t="shared" si="28"/>
        <v>0</v>
      </c>
      <c r="P376" s="792">
        <f t="shared" si="29"/>
        <v>0</v>
      </c>
    </row>
    <row r="377" spans="3:16">
      <c r="C377" s="788">
        <f>IF(D356="","-",+C376+1)</f>
        <v>2028</v>
      </c>
      <c r="D377" s="736">
        <f t="shared" si="30"/>
        <v>2583077.2019999987</v>
      </c>
      <c r="E377" s="789">
        <f t="shared" si="32"/>
        <v>123003.67628571429</v>
      </c>
      <c r="F377" s="789">
        <f t="shared" si="26"/>
        <v>2460073.5257142843</v>
      </c>
      <c r="G377" s="736">
        <f t="shared" si="31"/>
        <v>2521575.3638571417</v>
      </c>
      <c r="H377" s="794">
        <f>+J357*G377+E377</f>
        <v>487380.98015134351</v>
      </c>
      <c r="I377" s="795">
        <f>+J358*G377+E377</f>
        <v>487380.98015134351</v>
      </c>
      <c r="J377" s="792">
        <f t="shared" si="33"/>
        <v>0</v>
      </c>
      <c r="K377" s="792"/>
      <c r="L377" s="812"/>
      <c r="M377" s="792">
        <f t="shared" si="27"/>
        <v>0</v>
      </c>
      <c r="N377" s="812"/>
      <c r="O377" s="792">
        <f t="shared" si="28"/>
        <v>0</v>
      </c>
      <c r="P377" s="792">
        <f t="shared" si="29"/>
        <v>0</v>
      </c>
    </row>
    <row r="378" spans="3:16">
      <c r="C378" s="788">
        <f>IF(D356="","-",+C377+1)</f>
        <v>2029</v>
      </c>
      <c r="D378" s="736">
        <f t="shared" si="30"/>
        <v>2460073.5257142843</v>
      </c>
      <c r="E378" s="789">
        <f t="shared" si="32"/>
        <v>123003.67628571429</v>
      </c>
      <c r="F378" s="789">
        <f t="shared" si="26"/>
        <v>2337069.8494285699</v>
      </c>
      <c r="G378" s="736">
        <f t="shared" si="31"/>
        <v>2398571.6875714269</v>
      </c>
      <c r="H378" s="794">
        <f>+J357*G378+E378</f>
        <v>469606.47752375179</v>
      </c>
      <c r="I378" s="795">
        <f>+J358*G378+E378</f>
        <v>469606.47752375179</v>
      </c>
      <c r="J378" s="792">
        <f t="shared" si="33"/>
        <v>0</v>
      </c>
      <c r="K378" s="792"/>
      <c r="L378" s="812"/>
      <c r="M378" s="792">
        <f t="shared" si="27"/>
        <v>0</v>
      </c>
      <c r="N378" s="812"/>
      <c r="O378" s="792">
        <f t="shared" si="28"/>
        <v>0</v>
      </c>
      <c r="P378" s="792">
        <f t="shared" si="29"/>
        <v>0</v>
      </c>
    </row>
    <row r="379" spans="3:16">
      <c r="C379" s="788">
        <f>IF(D356="","-",+C378+1)</f>
        <v>2030</v>
      </c>
      <c r="D379" s="736">
        <f t="shared" si="30"/>
        <v>2337069.8494285699</v>
      </c>
      <c r="E379" s="789">
        <f t="shared" si="32"/>
        <v>123003.67628571429</v>
      </c>
      <c r="F379" s="789">
        <f t="shared" si="26"/>
        <v>2214066.1731428555</v>
      </c>
      <c r="G379" s="736">
        <f t="shared" si="31"/>
        <v>2275568.0112857129</v>
      </c>
      <c r="H379" s="794">
        <f>+J357*G379+E379</f>
        <v>451831.97489616019</v>
      </c>
      <c r="I379" s="795">
        <f>+J358*G379+E379</f>
        <v>451831.97489616019</v>
      </c>
      <c r="J379" s="792">
        <f t="shared" si="33"/>
        <v>0</v>
      </c>
      <c r="K379" s="792"/>
      <c r="L379" s="812"/>
      <c r="M379" s="792">
        <f t="shared" si="27"/>
        <v>0</v>
      </c>
      <c r="N379" s="812"/>
      <c r="O379" s="792">
        <f t="shared" si="28"/>
        <v>0</v>
      </c>
      <c r="P379" s="792">
        <f t="shared" si="29"/>
        <v>0</v>
      </c>
    </row>
    <row r="380" spans="3:16">
      <c r="C380" s="788">
        <f>IF(D356="","-",+C379+1)</f>
        <v>2031</v>
      </c>
      <c r="D380" s="736">
        <f t="shared" si="30"/>
        <v>2214066.1731428555</v>
      </c>
      <c r="E380" s="789">
        <f t="shared" si="32"/>
        <v>123003.67628571429</v>
      </c>
      <c r="F380" s="789">
        <f t="shared" si="26"/>
        <v>2091062.4968571411</v>
      </c>
      <c r="G380" s="736">
        <f t="shared" si="31"/>
        <v>2152564.3349999981</v>
      </c>
      <c r="H380" s="794">
        <f>+J357*G380+E380</f>
        <v>434057.47226856835</v>
      </c>
      <c r="I380" s="795">
        <f>+J358*G380+E380</f>
        <v>434057.47226856835</v>
      </c>
      <c r="J380" s="792">
        <f t="shared" si="33"/>
        <v>0</v>
      </c>
      <c r="K380" s="792"/>
      <c r="L380" s="812"/>
      <c r="M380" s="792">
        <f t="shared" si="27"/>
        <v>0</v>
      </c>
      <c r="N380" s="812"/>
      <c r="O380" s="792">
        <f t="shared" si="28"/>
        <v>0</v>
      </c>
      <c r="P380" s="792">
        <f t="shared" si="29"/>
        <v>0</v>
      </c>
    </row>
    <row r="381" spans="3:16">
      <c r="C381" s="788">
        <f>IF(D356="","-",+C380+1)</f>
        <v>2032</v>
      </c>
      <c r="D381" s="736">
        <f t="shared" si="30"/>
        <v>2091062.4968571411</v>
      </c>
      <c r="E381" s="789">
        <f t="shared" si="32"/>
        <v>123003.67628571429</v>
      </c>
      <c r="F381" s="789">
        <f t="shared" si="26"/>
        <v>1968058.8205714268</v>
      </c>
      <c r="G381" s="736">
        <f t="shared" si="31"/>
        <v>2029560.658714284</v>
      </c>
      <c r="H381" s="794">
        <f>+J357*G381+E381</f>
        <v>416282.96964097675</v>
      </c>
      <c r="I381" s="795">
        <f>+J358*G381+E381</f>
        <v>416282.96964097675</v>
      </c>
      <c r="J381" s="792">
        <f t="shared" si="33"/>
        <v>0</v>
      </c>
      <c r="K381" s="792"/>
      <c r="L381" s="812"/>
      <c r="M381" s="792">
        <f t="shared" si="27"/>
        <v>0</v>
      </c>
      <c r="N381" s="812"/>
      <c r="O381" s="792">
        <f t="shared" si="28"/>
        <v>0</v>
      </c>
      <c r="P381" s="792">
        <f t="shared" si="29"/>
        <v>0</v>
      </c>
    </row>
    <row r="382" spans="3:16">
      <c r="C382" s="788">
        <f>IF(D356="","-",+C381+1)</f>
        <v>2033</v>
      </c>
      <c r="D382" s="736">
        <f t="shared" si="30"/>
        <v>1968058.8205714268</v>
      </c>
      <c r="E382" s="789">
        <f t="shared" si="32"/>
        <v>123003.67628571429</v>
      </c>
      <c r="F382" s="789">
        <f t="shared" si="26"/>
        <v>1845055.1442857124</v>
      </c>
      <c r="G382" s="736">
        <f t="shared" si="31"/>
        <v>1906556.9824285696</v>
      </c>
      <c r="H382" s="794">
        <f>+J357*G382+E382</f>
        <v>398508.46701338503</v>
      </c>
      <c r="I382" s="795">
        <f>+J358*G382+E382</f>
        <v>398508.46701338503</v>
      </c>
      <c r="J382" s="792">
        <f t="shared" si="33"/>
        <v>0</v>
      </c>
      <c r="K382" s="792"/>
      <c r="L382" s="812"/>
      <c r="M382" s="792">
        <f t="shared" si="27"/>
        <v>0</v>
      </c>
      <c r="N382" s="812"/>
      <c r="O382" s="792">
        <f t="shared" si="28"/>
        <v>0</v>
      </c>
      <c r="P382" s="792">
        <f t="shared" si="29"/>
        <v>0</v>
      </c>
    </row>
    <row r="383" spans="3:16">
      <c r="C383" s="788">
        <f>IF(D356="","-",+C382+1)</f>
        <v>2034</v>
      </c>
      <c r="D383" s="736">
        <f t="shared" si="30"/>
        <v>1845055.1442857124</v>
      </c>
      <c r="E383" s="789">
        <f t="shared" si="32"/>
        <v>123003.67628571429</v>
      </c>
      <c r="F383" s="789">
        <f t="shared" si="26"/>
        <v>1722051.467999998</v>
      </c>
      <c r="G383" s="736">
        <f t="shared" si="31"/>
        <v>1783553.3061428552</v>
      </c>
      <c r="H383" s="794">
        <f>+J357*G383+E383</f>
        <v>380733.96438579331</v>
      </c>
      <c r="I383" s="795">
        <f>+J358*G383+E383</f>
        <v>380733.96438579331</v>
      </c>
      <c r="J383" s="792">
        <f t="shared" si="33"/>
        <v>0</v>
      </c>
      <c r="K383" s="792"/>
      <c r="L383" s="812"/>
      <c r="M383" s="792">
        <f t="shared" si="27"/>
        <v>0</v>
      </c>
      <c r="N383" s="812"/>
      <c r="O383" s="792">
        <f t="shared" si="28"/>
        <v>0</v>
      </c>
      <c r="P383" s="792">
        <f t="shared" si="29"/>
        <v>0</v>
      </c>
    </row>
    <row r="384" spans="3:16">
      <c r="C384" s="788">
        <f>IF(D356="","-",+C383+1)</f>
        <v>2035</v>
      </c>
      <c r="D384" s="736">
        <f t="shared" si="30"/>
        <v>1722051.467999998</v>
      </c>
      <c r="E384" s="789">
        <f t="shared" si="32"/>
        <v>123003.67628571429</v>
      </c>
      <c r="F384" s="789">
        <f t="shared" si="26"/>
        <v>1599047.7917142836</v>
      </c>
      <c r="G384" s="736">
        <f t="shared" si="31"/>
        <v>1660549.6298571408</v>
      </c>
      <c r="H384" s="794">
        <f>+J357*G384+E384</f>
        <v>362959.46175820165</v>
      </c>
      <c r="I384" s="795">
        <f>+J358*G384+E384</f>
        <v>362959.46175820165</v>
      </c>
      <c r="J384" s="792">
        <f t="shared" si="33"/>
        <v>0</v>
      </c>
      <c r="K384" s="792"/>
      <c r="L384" s="812"/>
      <c r="M384" s="792">
        <f t="shared" si="27"/>
        <v>0</v>
      </c>
      <c r="N384" s="812"/>
      <c r="O384" s="792">
        <f t="shared" si="28"/>
        <v>0</v>
      </c>
      <c r="P384" s="792">
        <f t="shared" si="29"/>
        <v>0</v>
      </c>
    </row>
    <row r="385" spans="3:16">
      <c r="C385" s="788">
        <f>IF(D356="","-",+C384+1)</f>
        <v>2036</v>
      </c>
      <c r="D385" s="736">
        <f t="shared" si="30"/>
        <v>1599047.7917142836</v>
      </c>
      <c r="E385" s="789">
        <f t="shared" si="32"/>
        <v>123003.67628571429</v>
      </c>
      <c r="F385" s="789">
        <f t="shared" si="26"/>
        <v>1476044.1154285693</v>
      </c>
      <c r="G385" s="736">
        <f t="shared" si="31"/>
        <v>1537545.9535714264</v>
      </c>
      <c r="H385" s="794">
        <f>+J357*G385+E385</f>
        <v>345184.95913060999</v>
      </c>
      <c r="I385" s="795">
        <f>+J358*G385+E385</f>
        <v>345184.95913060999</v>
      </c>
      <c r="J385" s="792">
        <f t="shared" si="33"/>
        <v>0</v>
      </c>
      <c r="K385" s="792"/>
      <c r="L385" s="812"/>
      <c r="M385" s="792">
        <f t="shared" si="27"/>
        <v>0</v>
      </c>
      <c r="N385" s="812"/>
      <c r="O385" s="792">
        <f t="shared" si="28"/>
        <v>0</v>
      </c>
      <c r="P385" s="792">
        <f t="shared" si="29"/>
        <v>0</v>
      </c>
    </row>
    <row r="386" spans="3:16">
      <c r="C386" s="788">
        <f>IF(D356="","-",+C385+1)</f>
        <v>2037</v>
      </c>
      <c r="D386" s="736">
        <f t="shared" si="30"/>
        <v>1476044.1154285693</v>
      </c>
      <c r="E386" s="789">
        <f t="shared" si="32"/>
        <v>123003.67628571429</v>
      </c>
      <c r="F386" s="789">
        <f t="shared" si="26"/>
        <v>1353040.4391428549</v>
      </c>
      <c r="G386" s="736">
        <f t="shared" si="31"/>
        <v>1414542.2772857121</v>
      </c>
      <c r="H386" s="794">
        <f>+J357*G386+E386</f>
        <v>327410.45650301827</v>
      </c>
      <c r="I386" s="795">
        <f>+J358*G386+E386</f>
        <v>327410.45650301827</v>
      </c>
      <c r="J386" s="792">
        <f t="shared" si="33"/>
        <v>0</v>
      </c>
      <c r="K386" s="792"/>
      <c r="L386" s="812"/>
      <c r="M386" s="792">
        <f t="shared" si="27"/>
        <v>0</v>
      </c>
      <c r="N386" s="812"/>
      <c r="O386" s="792">
        <f t="shared" si="28"/>
        <v>0</v>
      </c>
      <c r="P386" s="792">
        <f t="shared" si="29"/>
        <v>0</v>
      </c>
    </row>
    <row r="387" spans="3:16">
      <c r="C387" s="788">
        <f>IF(D356="","-",+C386+1)</f>
        <v>2038</v>
      </c>
      <c r="D387" s="736">
        <f t="shared" si="30"/>
        <v>1353040.4391428549</v>
      </c>
      <c r="E387" s="789">
        <f t="shared" si="32"/>
        <v>123003.67628571429</v>
      </c>
      <c r="F387" s="789">
        <f t="shared" si="26"/>
        <v>1230036.7628571405</v>
      </c>
      <c r="G387" s="736">
        <f t="shared" si="31"/>
        <v>1291538.6009999977</v>
      </c>
      <c r="H387" s="794">
        <f>+J357*G387+E387</f>
        <v>309635.95387542655</v>
      </c>
      <c r="I387" s="795">
        <f>+J358*G387+E387</f>
        <v>309635.95387542655</v>
      </c>
      <c r="J387" s="792">
        <f t="shared" si="33"/>
        <v>0</v>
      </c>
      <c r="K387" s="792"/>
      <c r="L387" s="812"/>
      <c r="M387" s="792">
        <f t="shared" si="27"/>
        <v>0</v>
      </c>
      <c r="N387" s="812"/>
      <c r="O387" s="792">
        <f t="shared" si="28"/>
        <v>0</v>
      </c>
      <c r="P387" s="792">
        <f t="shared" si="29"/>
        <v>0</v>
      </c>
    </row>
    <row r="388" spans="3:16">
      <c r="C388" s="788">
        <f>IF(D356="","-",+C387+1)</f>
        <v>2039</v>
      </c>
      <c r="D388" s="736">
        <f t="shared" si="30"/>
        <v>1230036.7628571405</v>
      </c>
      <c r="E388" s="789">
        <f t="shared" si="32"/>
        <v>123003.67628571429</v>
      </c>
      <c r="F388" s="789">
        <f t="shared" si="26"/>
        <v>1107033.0865714261</v>
      </c>
      <c r="G388" s="736">
        <f t="shared" si="31"/>
        <v>1168534.9247142833</v>
      </c>
      <c r="H388" s="794">
        <f>+J357*G388+E388</f>
        <v>291861.45124783489</v>
      </c>
      <c r="I388" s="795">
        <f>+J358*G388+E388</f>
        <v>291861.45124783489</v>
      </c>
      <c r="J388" s="792">
        <f t="shared" si="33"/>
        <v>0</v>
      </c>
      <c r="K388" s="792"/>
      <c r="L388" s="812"/>
      <c r="M388" s="792">
        <f t="shared" si="27"/>
        <v>0</v>
      </c>
      <c r="N388" s="812"/>
      <c r="O388" s="792">
        <f t="shared" si="28"/>
        <v>0</v>
      </c>
      <c r="P388" s="792">
        <f t="shared" si="29"/>
        <v>0</v>
      </c>
    </row>
    <row r="389" spans="3:16">
      <c r="C389" s="788">
        <f>IF(D356="","-",+C388+1)</f>
        <v>2040</v>
      </c>
      <c r="D389" s="736">
        <f t="shared" si="30"/>
        <v>1107033.0865714261</v>
      </c>
      <c r="E389" s="789">
        <f t="shared" si="32"/>
        <v>123003.67628571429</v>
      </c>
      <c r="F389" s="789">
        <f t="shared" si="26"/>
        <v>984029.41028571187</v>
      </c>
      <c r="G389" s="736">
        <f t="shared" si="31"/>
        <v>1045531.2484285689</v>
      </c>
      <c r="H389" s="794">
        <f>+J357*G389+E389</f>
        <v>274086.94862024323</v>
      </c>
      <c r="I389" s="795">
        <f>+J358*G389+E389</f>
        <v>274086.94862024323</v>
      </c>
      <c r="J389" s="792">
        <f t="shared" si="33"/>
        <v>0</v>
      </c>
      <c r="K389" s="792"/>
      <c r="L389" s="812"/>
      <c r="M389" s="792">
        <f t="shared" si="27"/>
        <v>0</v>
      </c>
      <c r="N389" s="812"/>
      <c r="O389" s="792">
        <f t="shared" si="28"/>
        <v>0</v>
      </c>
      <c r="P389" s="792">
        <f t="shared" si="29"/>
        <v>0</v>
      </c>
    </row>
    <row r="390" spans="3:16">
      <c r="C390" s="788">
        <f>IF(D356="","-",+C389+1)</f>
        <v>2041</v>
      </c>
      <c r="D390" s="736">
        <f t="shared" si="30"/>
        <v>984029.41028571187</v>
      </c>
      <c r="E390" s="789">
        <f t="shared" si="32"/>
        <v>123003.67628571429</v>
      </c>
      <c r="F390" s="789">
        <f t="shared" si="26"/>
        <v>861025.73399999761</v>
      </c>
      <c r="G390" s="736">
        <f t="shared" si="31"/>
        <v>922527.5721428548</v>
      </c>
      <c r="H390" s="794">
        <f>+J357*G390+E390</f>
        <v>256312.44599265154</v>
      </c>
      <c r="I390" s="795">
        <f>+J358*G390+E390</f>
        <v>256312.44599265154</v>
      </c>
      <c r="J390" s="792">
        <f t="shared" si="33"/>
        <v>0</v>
      </c>
      <c r="K390" s="792"/>
      <c r="L390" s="812"/>
      <c r="M390" s="792">
        <f t="shared" si="27"/>
        <v>0</v>
      </c>
      <c r="N390" s="812"/>
      <c r="O390" s="792">
        <f t="shared" si="28"/>
        <v>0</v>
      </c>
      <c r="P390" s="792">
        <f t="shared" si="29"/>
        <v>0</v>
      </c>
    </row>
    <row r="391" spans="3:16">
      <c r="C391" s="788">
        <f>IF(D356="","-",+C390+1)</f>
        <v>2042</v>
      </c>
      <c r="D391" s="736">
        <f t="shared" si="30"/>
        <v>861025.73399999761</v>
      </c>
      <c r="E391" s="789">
        <f t="shared" si="32"/>
        <v>123003.67628571429</v>
      </c>
      <c r="F391" s="789">
        <f t="shared" si="26"/>
        <v>738022.05771428335</v>
      </c>
      <c r="G391" s="736">
        <f t="shared" si="31"/>
        <v>799523.89585714042</v>
      </c>
      <c r="H391" s="794">
        <f>+J357*G391+E391</f>
        <v>238537.94336505985</v>
      </c>
      <c r="I391" s="795">
        <f>+J358*G391+E391</f>
        <v>238537.94336505985</v>
      </c>
      <c r="J391" s="792">
        <f t="shared" si="33"/>
        <v>0</v>
      </c>
      <c r="K391" s="792"/>
      <c r="L391" s="812"/>
      <c r="M391" s="792">
        <f t="shared" si="27"/>
        <v>0</v>
      </c>
      <c r="N391" s="812"/>
      <c r="O391" s="792">
        <f t="shared" si="28"/>
        <v>0</v>
      </c>
      <c r="P391" s="792">
        <f t="shared" si="29"/>
        <v>0</v>
      </c>
    </row>
    <row r="392" spans="3:16">
      <c r="C392" s="788">
        <f>IF(D356="","-",+C391+1)</f>
        <v>2043</v>
      </c>
      <c r="D392" s="736">
        <f t="shared" si="30"/>
        <v>738022.05771428335</v>
      </c>
      <c r="E392" s="789">
        <f t="shared" si="32"/>
        <v>123003.67628571429</v>
      </c>
      <c r="F392" s="789">
        <f t="shared" si="26"/>
        <v>615018.38142856909</v>
      </c>
      <c r="G392" s="736">
        <f t="shared" si="31"/>
        <v>676520.21957142628</v>
      </c>
      <c r="H392" s="794">
        <f>+J357*G392+E392</f>
        <v>220763.44073746819</v>
      </c>
      <c r="I392" s="795">
        <f>+J358*G392+E392</f>
        <v>220763.44073746819</v>
      </c>
      <c r="J392" s="792">
        <f t="shared" si="33"/>
        <v>0</v>
      </c>
      <c r="K392" s="792"/>
      <c r="L392" s="812"/>
      <c r="M392" s="792">
        <f t="shared" si="27"/>
        <v>0</v>
      </c>
      <c r="N392" s="812"/>
      <c r="O392" s="792">
        <f t="shared" si="28"/>
        <v>0</v>
      </c>
      <c r="P392" s="792">
        <f t="shared" si="29"/>
        <v>0</v>
      </c>
    </row>
    <row r="393" spans="3:16">
      <c r="C393" s="788">
        <f>IF(D356="","-",+C392+1)</f>
        <v>2044</v>
      </c>
      <c r="D393" s="736">
        <f t="shared" si="30"/>
        <v>615018.38142856909</v>
      </c>
      <c r="E393" s="789">
        <f t="shared" si="32"/>
        <v>123003.67628571429</v>
      </c>
      <c r="F393" s="789">
        <f t="shared" si="26"/>
        <v>492014.70514285483</v>
      </c>
      <c r="G393" s="736">
        <f t="shared" si="31"/>
        <v>553516.5432857119</v>
      </c>
      <c r="H393" s="794">
        <f>+J357*G393+E393</f>
        <v>202988.9381098765</v>
      </c>
      <c r="I393" s="795">
        <f>+J358*G393+E393</f>
        <v>202988.9381098765</v>
      </c>
      <c r="J393" s="792">
        <f t="shared" si="33"/>
        <v>0</v>
      </c>
      <c r="K393" s="792"/>
      <c r="L393" s="812"/>
      <c r="M393" s="792">
        <f t="shared" si="27"/>
        <v>0</v>
      </c>
      <c r="N393" s="812"/>
      <c r="O393" s="792">
        <f t="shared" si="28"/>
        <v>0</v>
      </c>
      <c r="P393" s="792">
        <f t="shared" si="29"/>
        <v>0</v>
      </c>
    </row>
    <row r="394" spans="3:16">
      <c r="C394" s="788">
        <f>IF(D356="","-",+C393+1)</f>
        <v>2045</v>
      </c>
      <c r="D394" s="736">
        <f t="shared" si="30"/>
        <v>492014.70514285483</v>
      </c>
      <c r="E394" s="789">
        <f t="shared" si="32"/>
        <v>123003.67628571429</v>
      </c>
      <c r="F394" s="789">
        <f t="shared" si="26"/>
        <v>369011.02885714057</v>
      </c>
      <c r="G394" s="736">
        <f t="shared" si="31"/>
        <v>430512.8669999977</v>
      </c>
      <c r="H394" s="794">
        <f>+J357*G394+E394</f>
        <v>185214.43548228484</v>
      </c>
      <c r="I394" s="795">
        <f>+J358*G394+E394</f>
        <v>185214.43548228484</v>
      </c>
      <c r="J394" s="792">
        <f t="shared" si="33"/>
        <v>0</v>
      </c>
      <c r="K394" s="792"/>
      <c r="L394" s="812"/>
      <c r="M394" s="792">
        <f t="shared" si="27"/>
        <v>0</v>
      </c>
      <c r="N394" s="812"/>
      <c r="O394" s="792">
        <f t="shared" si="28"/>
        <v>0</v>
      </c>
      <c r="P394" s="792">
        <f t="shared" si="29"/>
        <v>0</v>
      </c>
    </row>
    <row r="395" spans="3:16">
      <c r="C395" s="788">
        <f>IF(D356="","-",+C394+1)</f>
        <v>2046</v>
      </c>
      <c r="D395" s="736">
        <f t="shared" si="30"/>
        <v>369011.02885714057</v>
      </c>
      <c r="E395" s="789">
        <f t="shared" si="32"/>
        <v>123003.67628571429</v>
      </c>
      <c r="F395" s="789">
        <f t="shared" si="26"/>
        <v>246007.35257142628</v>
      </c>
      <c r="G395" s="736">
        <f t="shared" si="31"/>
        <v>307509.19071428344</v>
      </c>
      <c r="H395" s="794">
        <f>+J357*G395+E395</f>
        <v>167439.93285469315</v>
      </c>
      <c r="I395" s="795">
        <f>+J358*G395+E395</f>
        <v>167439.93285469315</v>
      </c>
      <c r="J395" s="792">
        <f t="shared" si="33"/>
        <v>0</v>
      </c>
      <c r="K395" s="792"/>
      <c r="L395" s="812"/>
      <c r="M395" s="792">
        <f t="shared" si="27"/>
        <v>0</v>
      </c>
      <c r="N395" s="812"/>
      <c r="O395" s="792">
        <f t="shared" si="28"/>
        <v>0</v>
      </c>
      <c r="P395" s="792">
        <f t="shared" si="29"/>
        <v>0</v>
      </c>
    </row>
    <row r="396" spans="3:16">
      <c r="C396" s="788">
        <f>IF(D356="","-",+C395+1)</f>
        <v>2047</v>
      </c>
      <c r="D396" s="736">
        <f t="shared" si="30"/>
        <v>246007.35257142628</v>
      </c>
      <c r="E396" s="789">
        <f t="shared" si="32"/>
        <v>123003.67628571429</v>
      </c>
      <c r="F396" s="789">
        <f t="shared" si="26"/>
        <v>123003.67628571199</v>
      </c>
      <c r="G396" s="736">
        <f t="shared" si="31"/>
        <v>184505.51442856912</v>
      </c>
      <c r="H396" s="794">
        <f>+J357*G396+E396</f>
        <v>149665.43022710149</v>
      </c>
      <c r="I396" s="795">
        <f>+J358*G396+E396</f>
        <v>149665.43022710149</v>
      </c>
      <c r="J396" s="792">
        <f t="shared" si="33"/>
        <v>0</v>
      </c>
      <c r="K396" s="792"/>
      <c r="L396" s="812"/>
      <c r="M396" s="792">
        <f t="shared" si="27"/>
        <v>0</v>
      </c>
      <c r="N396" s="812"/>
      <c r="O396" s="792">
        <f t="shared" si="28"/>
        <v>0</v>
      </c>
      <c r="P396" s="792">
        <f t="shared" si="29"/>
        <v>0</v>
      </c>
    </row>
    <row r="397" spans="3:16">
      <c r="C397" s="788">
        <f>IF(D356="","-",+C396+1)</f>
        <v>2048</v>
      </c>
      <c r="D397" s="736">
        <f t="shared" si="30"/>
        <v>123003.67628571199</v>
      </c>
      <c r="E397" s="789">
        <f t="shared" si="32"/>
        <v>123003.67628571199</v>
      </c>
      <c r="F397" s="789">
        <f t="shared" si="26"/>
        <v>0</v>
      </c>
      <c r="G397" s="736">
        <f t="shared" si="31"/>
        <v>61501.838142855995</v>
      </c>
      <c r="H397" s="794">
        <f>+J357*G397+E397</f>
        <v>131890.92759950768</v>
      </c>
      <c r="I397" s="795">
        <f>+J358*G397+E397</f>
        <v>131890.92759950768</v>
      </c>
      <c r="J397" s="792">
        <f t="shared" si="33"/>
        <v>0</v>
      </c>
      <c r="K397" s="792"/>
      <c r="L397" s="812"/>
      <c r="M397" s="792">
        <f t="shared" si="27"/>
        <v>0</v>
      </c>
      <c r="N397" s="812"/>
      <c r="O397" s="792">
        <f t="shared" si="28"/>
        <v>0</v>
      </c>
      <c r="P397" s="792">
        <f t="shared" si="29"/>
        <v>0</v>
      </c>
    </row>
    <row r="398" spans="3:16">
      <c r="C398" s="788">
        <f>IF(D356="","-",+C397+1)</f>
        <v>2049</v>
      </c>
      <c r="D398" s="736">
        <f t="shared" si="30"/>
        <v>0</v>
      </c>
      <c r="E398" s="789">
        <f t="shared" si="32"/>
        <v>0</v>
      </c>
      <c r="F398" s="789">
        <f t="shared" si="26"/>
        <v>0</v>
      </c>
      <c r="G398" s="736">
        <f t="shared" si="31"/>
        <v>0</v>
      </c>
      <c r="H398" s="794">
        <f>+J357*G398+E398</f>
        <v>0</v>
      </c>
      <c r="I398" s="795">
        <f>+J358*G398+E398</f>
        <v>0</v>
      </c>
      <c r="J398" s="792">
        <f t="shared" si="33"/>
        <v>0</v>
      </c>
      <c r="K398" s="792"/>
      <c r="L398" s="812"/>
      <c r="M398" s="792">
        <f t="shared" si="27"/>
        <v>0</v>
      </c>
      <c r="N398" s="812"/>
      <c r="O398" s="792">
        <f t="shared" si="28"/>
        <v>0</v>
      </c>
      <c r="P398" s="792">
        <f t="shared" si="29"/>
        <v>0</v>
      </c>
    </row>
    <row r="399" spans="3:16">
      <c r="C399" s="788">
        <f>IF(D356="","-",+C398+1)</f>
        <v>2050</v>
      </c>
      <c r="D399" s="736">
        <f t="shared" si="30"/>
        <v>0</v>
      </c>
      <c r="E399" s="789">
        <f t="shared" si="32"/>
        <v>0</v>
      </c>
      <c r="F399" s="789">
        <f t="shared" si="26"/>
        <v>0</v>
      </c>
      <c r="G399" s="736">
        <f t="shared" si="31"/>
        <v>0</v>
      </c>
      <c r="H399" s="794">
        <f>+J357*G399+E399</f>
        <v>0</v>
      </c>
      <c r="I399" s="795">
        <f>+J358*G399+E399</f>
        <v>0</v>
      </c>
      <c r="J399" s="792">
        <f t="shared" si="33"/>
        <v>0</v>
      </c>
      <c r="K399" s="792"/>
      <c r="L399" s="812"/>
      <c r="M399" s="792">
        <f t="shared" si="27"/>
        <v>0</v>
      </c>
      <c r="N399" s="812"/>
      <c r="O399" s="792">
        <f t="shared" si="28"/>
        <v>0</v>
      </c>
      <c r="P399" s="792">
        <f t="shared" si="29"/>
        <v>0</v>
      </c>
    </row>
    <row r="400" spans="3:16">
      <c r="C400" s="788">
        <f>IF(D356="","-",+C399+1)</f>
        <v>2051</v>
      </c>
      <c r="D400" s="736">
        <f t="shared" si="30"/>
        <v>0</v>
      </c>
      <c r="E400" s="789">
        <f t="shared" si="32"/>
        <v>0</v>
      </c>
      <c r="F400" s="789">
        <f t="shared" si="26"/>
        <v>0</v>
      </c>
      <c r="G400" s="736">
        <f t="shared" si="31"/>
        <v>0</v>
      </c>
      <c r="H400" s="794">
        <f>+J357*G400+E400</f>
        <v>0</v>
      </c>
      <c r="I400" s="795">
        <f>+J358*G400+E400</f>
        <v>0</v>
      </c>
      <c r="J400" s="792">
        <f t="shared" si="33"/>
        <v>0</v>
      </c>
      <c r="K400" s="792"/>
      <c r="L400" s="812"/>
      <c r="M400" s="792">
        <f t="shared" si="27"/>
        <v>0</v>
      </c>
      <c r="N400" s="812"/>
      <c r="O400" s="792">
        <f t="shared" si="28"/>
        <v>0</v>
      </c>
      <c r="P400" s="792">
        <f t="shared" si="29"/>
        <v>0</v>
      </c>
    </row>
    <row r="401" spans="3:16">
      <c r="C401" s="788">
        <f>IF(D356="","-",+C400+1)</f>
        <v>2052</v>
      </c>
      <c r="D401" s="736">
        <f t="shared" si="30"/>
        <v>0</v>
      </c>
      <c r="E401" s="789">
        <f t="shared" si="32"/>
        <v>0</v>
      </c>
      <c r="F401" s="789">
        <f t="shared" si="26"/>
        <v>0</v>
      </c>
      <c r="G401" s="736">
        <f t="shared" si="31"/>
        <v>0</v>
      </c>
      <c r="H401" s="794">
        <f>+J357*G401+E401</f>
        <v>0</v>
      </c>
      <c r="I401" s="795">
        <f>+J358*G401+E401</f>
        <v>0</v>
      </c>
      <c r="J401" s="792">
        <f t="shared" si="33"/>
        <v>0</v>
      </c>
      <c r="K401" s="792"/>
      <c r="L401" s="812"/>
      <c r="M401" s="792">
        <f t="shared" si="27"/>
        <v>0</v>
      </c>
      <c r="N401" s="812"/>
      <c r="O401" s="792">
        <f t="shared" si="28"/>
        <v>0</v>
      </c>
      <c r="P401" s="792">
        <f t="shared" si="29"/>
        <v>0</v>
      </c>
    </row>
    <row r="402" spans="3:16">
      <c r="C402" s="788">
        <f>IF(D356="","-",+C401+1)</f>
        <v>2053</v>
      </c>
      <c r="D402" s="736">
        <f t="shared" si="30"/>
        <v>0</v>
      </c>
      <c r="E402" s="789">
        <f t="shared" si="32"/>
        <v>0</v>
      </c>
      <c r="F402" s="789">
        <f t="shared" si="26"/>
        <v>0</v>
      </c>
      <c r="G402" s="736">
        <f t="shared" si="31"/>
        <v>0</v>
      </c>
      <c r="H402" s="794">
        <f>+J357*G402+E402</f>
        <v>0</v>
      </c>
      <c r="I402" s="795">
        <f>+J358*G402+E402</f>
        <v>0</v>
      </c>
      <c r="J402" s="792">
        <f t="shared" si="33"/>
        <v>0</v>
      </c>
      <c r="K402" s="792"/>
      <c r="L402" s="812"/>
      <c r="M402" s="792">
        <f t="shared" si="27"/>
        <v>0</v>
      </c>
      <c r="N402" s="812"/>
      <c r="O402" s="792">
        <f t="shared" si="28"/>
        <v>0</v>
      </c>
      <c r="P402" s="792">
        <f t="shared" si="29"/>
        <v>0</v>
      </c>
    </row>
    <row r="403" spans="3:16">
      <c r="C403" s="788">
        <f>IF(D356="","-",+C402+1)</f>
        <v>2054</v>
      </c>
      <c r="D403" s="736">
        <f t="shared" si="30"/>
        <v>0</v>
      </c>
      <c r="E403" s="789">
        <f t="shared" si="32"/>
        <v>0</v>
      </c>
      <c r="F403" s="789">
        <f t="shared" si="26"/>
        <v>0</v>
      </c>
      <c r="G403" s="736">
        <f t="shared" si="31"/>
        <v>0</v>
      </c>
      <c r="H403" s="794">
        <f>+J357*G403+E403</f>
        <v>0</v>
      </c>
      <c r="I403" s="795">
        <f>+J358*G403+E403</f>
        <v>0</v>
      </c>
      <c r="J403" s="792">
        <f t="shared" si="33"/>
        <v>0</v>
      </c>
      <c r="K403" s="792"/>
      <c r="L403" s="812"/>
      <c r="M403" s="792">
        <f t="shared" si="27"/>
        <v>0</v>
      </c>
      <c r="N403" s="812"/>
      <c r="O403" s="792">
        <f t="shared" si="28"/>
        <v>0</v>
      </c>
      <c r="P403" s="792">
        <f t="shared" si="29"/>
        <v>0</v>
      </c>
    </row>
    <row r="404" spans="3:16">
      <c r="C404" s="788">
        <f>IF(D356="","-",+C403+1)</f>
        <v>2055</v>
      </c>
      <c r="D404" s="736">
        <f t="shared" si="30"/>
        <v>0</v>
      </c>
      <c r="E404" s="789">
        <f t="shared" si="32"/>
        <v>0</v>
      </c>
      <c r="F404" s="789">
        <f t="shared" si="26"/>
        <v>0</v>
      </c>
      <c r="G404" s="736">
        <f t="shared" si="31"/>
        <v>0</v>
      </c>
      <c r="H404" s="794">
        <f>+J357*G404+E404</f>
        <v>0</v>
      </c>
      <c r="I404" s="795">
        <f>+J358*G404+E404</f>
        <v>0</v>
      </c>
      <c r="J404" s="792">
        <f t="shared" si="33"/>
        <v>0</v>
      </c>
      <c r="K404" s="792"/>
      <c r="L404" s="812"/>
      <c r="M404" s="792">
        <f t="shared" si="27"/>
        <v>0</v>
      </c>
      <c r="N404" s="812"/>
      <c r="O404" s="792">
        <f t="shared" si="28"/>
        <v>0</v>
      </c>
      <c r="P404" s="792">
        <f t="shared" si="29"/>
        <v>0</v>
      </c>
    </row>
    <row r="405" spans="3:16">
      <c r="C405" s="788">
        <f>IF(D356="","-",+C404+1)</f>
        <v>2056</v>
      </c>
      <c r="D405" s="736">
        <f t="shared" si="30"/>
        <v>0</v>
      </c>
      <c r="E405" s="789">
        <f t="shared" si="32"/>
        <v>0</v>
      </c>
      <c r="F405" s="789">
        <f t="shared" si="26"/>
        <v>0</v>
      </c>
      <c r="G405" s="736">
        <f t="shared" si="31"/>
        <v>0</v>
      </c>
      <c r="H405" s="794">
        <f>+J357*G405+E405</f>
        <v>0</v>
      </c>
      <c r="I405" s="795">
        <f>+J358*G405+E405</f>
        <v>0</v>
      </c>
      <c r="J405" s="792">
        <f t="shared" si="33"/>
        <v>0</v>
      </c>
      <c r="K405" s="792"/>
      <c r="L405" s="812"/>
      <c r="M405" s="792">
        <f t="shared" si="27"/>
        <v>0</v>
      </c>
      <c r="N405" s="812"/>
      <c r="O405" s="792">
        <f t="shared" si="28"/>
        <v>0</v>
      </c>
      <c r="P405" s="792">
        <f t="shared" si="29"/>
        <v>0</v>
      </c>
    </row>
    <row r="406" spans="3:16">
      <c r="C406" s="788">
        <f>IF(D356="","-",+C405+1)</f>
        <v>2057</v>
      </c>
      <c r="D406" s="736">
        <f t="shared" si="30"/>
        <v>0</v>
      </c>
      <c r="E406" s="789">
        <f t="shared" si="32"/>
        <v>0</v>
      </c>
      <c r="F406" s="789">
        <f t="shared" si="26"/>
        <v>0</v>
      </c>
      <c r="G406" s="736">
        <f t="shared" si="31"/>
        <v>0</v>
      </c>
      <c r="H406" s="794">
        <f>+J357*G406+E406</f>
        <v>0</v>
      </c>
      <c r="I406" s="795">
        <f>+J358*G406+E406</f>
        <v>0</v>
      </c>
      <c r="J406" s="792">
        <f t="shared" si="33"/>
        <v>0</v>
      </c>
      <c r="K406" s="792"/>
      <c r="L406" s="812"/>
      <c r="M406" s="792">
        <f t="shared" si="27"/>
        <v>0</v>
      </c>
      <c r="N406" s="812"/>
      <c r="O406" s="792">
        <f t="shared" si="28"/>
        <v>0</v>
      </c>
      <c r="P406" s="792">
        <f t="shared" si="29"/>
        <v>0</v>
      </c>
    </row>
    <row r="407" spans="3:16">
      <c r="C407" s="788">
        <f>IF(D356="","-",+C406+1)</f>
        <v>2058</v>
      </c>
      <c r="D407" s="736">
        <f t="shared" si="30"/>
        <v>0</v>
      </c>
      <c r="E407" s="789">
        <f t="shared" si="32"/>
        <v>0</v>
      </c>
      <c r="F407" s="789">
        <f t="shared" si="26"/>
        <v>0</v>
      </c>
      <c r="G407" s="736">
        <f t="shared" si="31"/>
        <v>0</v>
      </c>
      <c r="H407" s="794">
        <f>+J357*G407+E407</f>
        <v>0</v>
      </c>
      <c r="I407" s="795">
        <f>+J358*G407+E407</f>
        <v>0</v>
      </c>
      <c r="J407" s="792">
        <f t="shared" si="33"/>
        <v>0</v>
      </c>
      <c r="K407" s="792"/>
      <c r="L407" s="812"/>
      <c r="M407" s="792">
        <f t="shared" si="27"/>
        <v>0</v>
      </c>
      <c r="N407" s="812"/>
      <c r="O407" s="792">
        <f t="shared" si="28"/>
        <v>0</v>
      </c>
      <c r="P407" s="792">
        <f t="shared" si="29"/>
        <v>0</v>
      </c>
    </row>
    <row r="408" spans="3:16">
      <c r="C408" s="788">
        <f>IF(D356="","-",+C407+1)</f>
        <v>2059</v>
      </c>
      <c r="D408" s="736">
        <f t="shared" si="30"/>
        <v>0</v>
      </c>
      <c r="E408" s="789">
        <f t="shared" si="32"/>
        <v>0</v>
      </c>
      <c r="F408" s="789">
        <f t="shared" si="26"/>
        <v>0</v>
      </c>
      <c r="G408" s="736">
        <f t="shared" si="31"/>
        <v>0</v>
      </c>
      <c r="H408" s="794">
        <f>+J357*G408+E408</f>
        <v>0</v>
      </c>
      <c r="I408" s="795">
        <f>+J358*G408+E408</f>
        <v>0</v>
      </c>
      <c r="J408" s="792">
        <f t="shared" si="33"/>
        <v>0</v>
      </c>
      <c r="K408" s="792"/>
      <c r="L408" s="812"/>
      <c r="M408" s="792">
        <f t="shared" si="27"/>
        <v>0</v>
      </c>
      <c r="N408" s="812"/>
      <c r="O408" s="792">
        <f t="shared" si="28"/>
        <v>0</v>
      </c>
      <c r="P408" s="792">
        <f t="shared" si="29"/>
        <v>0</v>
      </c>
    </row>
    <row r="409" spans="3:16">
      <c r="C409" s="788">
        <f>IF(D356="","-",+C408+1)</f>
        <v>2060</v>
      </c>
      <c r="D409" s="736">
        <f t="shared" si="30"/>
        <v>0</v>
      </c>
      <c r="E409" s="789">
        <f t="shared" si="32"/>
        <v>0</v>
      </c>
      <c r="F409" s="789">
        <f t="shared" si="26"/>
        <v>0</v>
      </c>
      <c r="G409" s="736">
        <f t="shared" si="31"/>
        <v>0</v>
      </c>
      <c r="H409" s="794">
        <f>+J357*G409+E409</f>
        <v>0</v>
      </c>
      <c r="I409" s="795">
        <f>+J358*G409+E409</f>
        <v>0</v>
      </c>
      <c r="J409" s="792">
        <f t="shared" si="33"/>
        <v>0</v>
      </c>
      <c r="K409" s="792"/>
      <c r="L409" s="812"/>
      <c r="M409" s="792">
        <f t="shared" si="27"/>
        <v>0</v>
      </c>
      <c r="N409" s="812"/>
      <c r="O409" s="792">
        <f t="shared" si="28"/>
        <v>0</v>
      </c>
      <c r="P409" s="792">
        <f t="shared" si="29"/>
        <v>0</v>
      </c>
    </row>
    <row r="410" spans="3:16">
      <c r="C410" s="788">
        <f>IF(D356="","-",+C409+1)</f>
        <v>2061</v>
      </c>
      <c r="D410" s="736">
        <f t="shared" si="30"/>
        <v>0</v>
      </c>
      <c r="E410" s="789">
        <f t="shared" si="32"/>
        <v>0</v>
      </c>
      <c r="F410" s="789">
        <f t="shared" si="26"/>
        <v>0</v>
      </c>
      <c r="G410" s="736">
        <f t="shared" si="31"/>
        <v>0</v>
      </c>
      <c r="H410" s="794">
        <f>+J357*G410+E410</f>
        <v>0</v>
      </c>
      <c r="I410" s="795">
        <f>+J358*G410+E410</f>
        <v>0</v>
      </c>
      <c r="J410" s="792">
        <f t="shared" si="33"/>
        <v>0</v>
      </c>
      <c r="K410" s="792"/>
      <c r="L410" s="812"/>
      <c r="M410" s="792">
        <f t="shared" si="27"/>
        <v>0</v>
      </c>
      <c r="N410" s="812"/>
      <c r="O410" s="792">
        <f t="shared" si="28"/>
        <v>0</v>
      </c>
      <c r="P410" s="792">
        <f t="shared" si="29"/>
        <v>0</v>
      </c>
    </row>
    <row r="411" spans="3:16">
      <c r="C411" s="788">
        <f>IF(D356="","-",+C410+1)</f>
        <v>2062</v>
      </c>
      <c r="D411" s="736">
        <f t="shared" si="30"/>
        <v>0</v>
      </c>
      <c r="E411" s="789">
        <f t="shared" si="32"/>
        <v>0</v>
      </c>
      <c r="F411" s="789">
        <f t="shared" si="26"/>
        <v>0</v>
      </c>
      <c r="G411" s="736">
        <f t="shared" si="31"/>
        <v>0</v>
      </c>
      <c r="H411" s="794">
        <f>+J357*G411+E411</f>
        <v>0</v>
      </c>
      <c r="I411" s="795">
        <f>+J358*G411+E411</f>
        <v>0</v>
      </c>
      <c r="J411" s="792">
        <f t="shared" si="33"/>
        <v>0</v>
      </c>
      <c r="K411" s="792"/>
      <c r="L411" s="812"/>
      <c r="M411" s="792">
        <f t="shared" si="27"/>
        <v>0</v>
      </c>
      <c r="N411" s="812"/>
      <c r="O411" s="792">
        <f t="shared" si="28"/>
        <v>0</v>
      </c>
      <c r="P411" s="792">
        <f t="shared" si="29"/>
        <v>0</v>
      </c>
    </row>
    <row r="412" spans="3:16">
      <c r="C412" s="788">
        <f>IF(D356="","-",+C411+1)</f>
        <v>2063</v>
      </c>
      <c r="D412" s="736">
        <f t="shared" si="30"/>
        <v>0</v>
      </c>
      <c r="E412" s="789">
        <f t="shared" si="32"/>
        <v>0</v>
      </c>
      <c r="F412" s="789">
        <f t="shared" si="26"/>
        <v>0</v>
      </c>
      <c r="G412" s="736">
        <f t="shared" si="31"/>
        <v>0</v>
      </c>
      <c r="H412" s="794">
        <f>+J357*G412+E412</f>
        <v>0</v>
      </c>
      <c r="I412" s="795">
        <f>+J358*G412+E412</f>
        <v>0</v>
      </c>
      <c r="J412" s="792">
        <f t="shared" si="33"/>
        <v>0</v>
      </c>
      <c r="K412" s="792"/>
      <c r="L412" s="812"/>
      <c r="M412" s="792">
        <f t="shared" si="27"/>
        <v>0</v>
      </c>
      <c r="N412" s="812"/>
      <c r="O412" s="792">
        <f t="shared" si="28"/>
        <v>0</v>
      </c>
      <c r="P412" s="792">
        <f t="shared" si="29"/>
        <v>0</v>
      </c>
    </row>
    <row r="413" spans="3:16">
      <c r="C413" s="788">
        <f>IF(D356="","-",+C412+1)</f>
        <v>2064</v>
      </c>
      <c r="D413" s="736">
        <f t="shared" si="30"/>
        <v>0</v>
      </c>
      <c r="E413" s="789">
        <f t="shared" si="32"/>
        <v>0</v>
      </c>
      <c r="F413" s="789">
        <f t="shared" si="26"/>
        <v>0</v>
      </c>
      <c r="G413" s="736">
        <f t="shared" si="31"/>
        <v>0</v>
      </c>
      <c r="H413" s="794">
        <f>+J357*G413+E413</f>
        <v>0</v>
      </c>
      <c r="I413" s="795">
        <f>+J358*G413+E413</f>
        <v>0</v>
      </c>
      <c r="J413" s="792">
        <f t="shared" si="33"/>
        <v>0</v>
      </c>
      <c r="K413" s="792"/>
      <c r="L413" s="812"/>
      <c r="M413" s="792">
        <f t="shared" si="27"/>
        <v>0</v>
      </c>
      <c r="N413" s="812"/>
      <c r="O413" s="792">
        <f t="shared" si="28"/>
        <v>0</v>
      </c>
      <c r="P413" s="792">
        <f t="shared" si="29"/>
        <v>0</v>
      </c>
    </row>
    <row r="414" spans="3:16">
      <c r="C414" s="788">
        <f>IF(D356="","-",+C413+1)</f>
        <v>2065</v>
      </c>
      <c r="D414" s="736">
        <f t="shared" si="30"/>
        <v>0</v>
      </c>
      <c r="E414" s="789">
        <f t="shared" si="32"/>
        <v>0</v>
      </c>
      <c r="F414" s="789">
        <f t="shared" si="26"/>
        <v>0</v>
      </c>
      <c r="G414" s="736">
        <f t="shared" si="31"/>
        <v>0</v>
      </c>
      <c r="H414" s="794">
        <f>+J357*G414+E414</f>
        <v>0</v>
      </c>
      <c r="I414" s="795">
        <f>+J358*G414+E414</f>
        <v>0</v>
      </c>
      <c r="J414" s="792">
        <f t="shared" si="33"/>
        <v>0</v>
      </c>
      <c r="K414" s="792"/>
      <c r="L414" s="812"/>
      <c r="M414" s="792">
        <f t="shared" si="27"/>
        <v>0</v>
      </c>
      <c r="N414" s="812"/>
      <c r="O414" s="792">
        <f t="shared" si="28"/>
        <v>0</v>
      </c>
      <c r="P414" s="792">
        <f t="shared" si="29"/>
        <v>0</v>
      </c>
    </row>
    <row r="415" spans="3:16">
      <c r="C415" s="788">
        <f>IF(D356="","-",+C414+1)</f>
        <v>2066</v>
      </c>
      <c r="D415" s="736">
        <f t="shared" si="30"/>
        <v>0</v>
      </c>
      <c r="E415" s="789">
        <f t="shared" si="32"/>
        <v>0</v>
      </c>
      <c r="F415" s="789">
        <f t="shared" si="26"/>
        <v>0</v>
      </c>
      <c r="G415" s="736">
        <f t="shared" si="31"/>
        <v>0</v>
      </c>
      <c r="H415" s="794">
        <f>+J357*G415+E415</f>
        <v>0</v>
      </c>
      <c r="I415" s="795">
        <f>+J358*G415+E415</f>
        <v>0</v>
      </c>
      <c r="J415" s="792">
        <f t="shared" si="33"/>
        <v>0</v>
      </c>
      <c r="K415" s="792"/>
      <c r="L415" s="812"/>
      <c r="M415" s="792">
        <f t="shared" si="27"/>
        <v>0</v>
      </c>
      <c r="N415" s="812"/>
      <c r="O415" s="792">
        <f t="shared" si="28"/>
        <v>0</v>
      </c>
      <c r="P415" s="792">
        <f t="shared" si="29"/>
        <v>0</v>
      </c>
    </row>
    <row r="416" spans="3:16">
      <c r="C416" s="788">
        <f>IF(D356="","-",+C415+1)</f>
        <v>2067</v>
      </c>
      <c r="D416" s="736">
        <f t="shared" ref="D416:D421" si="34">F415</f>
        <v>0</v>
      </c>
      <c r="E416" s="789">
        <f t="shared" si="32"/>
        <v>0</v>
      </c>
      <c r="F416" s="789">
        <f t="shared" si="26"/>
        <v>0</v>
      </c>
      <c r="G416" s="736">
        <f t="shared" si="31"/>
        <v>0</v>
      </c>
      <c r="H416" s="794">
        <f>+J357*G416+E416</f>
        <v>0</v>
      </c>
      <c r="I416" s="795">
        <f>+J358*G416+E416</f>
        <v>0</v>
      </c>
      <c r="J416" s="792">
        <f t="shared" si="33"/>
        <v>0</v>
      </c>
      <c r="K416" s="792"/>
      <c r="L416" s="812"/>
      <c r="M416" s="792">
        <f t="shared" si="27"/>
        <v>0</v>
      </c>
      <c r="N416" s="812"/>
      <c r="O416" s="792">
        <f t="shared" si="28"/>
        <v>0</v>
      </c>
      <c r="P416" s="792">
        <f t="shared" si="29"/>
        <v>0</v>
      </c>
    </row>
    <row r="417" spans="1:17">
      <c r="C417" s="788">
        <f>IF(D356="","-",+C416+1)</f>
        <v>2068</v>
      </c>
      <c r="D417" s="736">
        <f t="shared" si="34"/>
        <v>0</v>
      </c>
      <c r="E417" s="789">
        <f t="shared" si="32"/>
        <v>0</v>
      </c>
      <c r="F417" s="789">
        <f t="shared" si="26"/>
        <v>0</v>
      </c>
      <c r="G417" s="736">
        <f t="shared" si="31"/>
        <v>0</v>
      </c>
      <c r="H417" s="794">
        <f>+J357*G417+E417</f>
        <v>0</v>
      </c>
      <c r="I417" s="795">
        <f>+J358*G417+E417</f>
        <v>0</v>
      </c>
      <c r="J417" s="792">
        <f t="shared" si="33"/>
        <v>0</v>
      </c>
      <c r="K417" s="792"/>
      <c r="L417" s="812"/>
      <c r="M417" s="792">
        <f t="shared" si="27"/>
        <v>0</v>
      </c>
      <c r="N417" s="812"/>
      <c r="O417" s="792">
        <f t="shared" si="28"/>
        <v>0</v>
      </c>
      <c r="P417" s="792">
        <f t="shared" si="29"/>
        <v>0</v>
      </c>
    </row>
    <row r="418" spans="1:17">
      <c r="C418" s="788">
        <f>IF(D356="","-",+C417+1)</f>
        <v>2069</v>
      </c>
      <c r="D418" s="736">
        <f t="shared" si="34"/>
        <v>0</v>
      </c>
      <c r="E418" s="789">
        <f t="shared" si="32"/>
        <v>0</v>
      </c>
      <c r="F418" s="789">
        <f t="shared" si="26"/>
        <v>0</v>
      </c>
      <c r="G418" s="736">
        <f t="shared" si="31"/>
        <v>0</v>
      </c>
      <c r="H418" s="794">
        <f>+J357*G418+E418</f>
        <v>0</v>
      </c>
      <c r="I418" s="795">
        <f>+J358*G418+E418</f>
        <v>0</v>
      </c>
      <c r="J418" s="792">
        <f t="shared" si="33"/>
        <v>0</v>
      </c>
      <c r="K418" s="792"/>
      <c r="L418" s="812"/>
      <c r="M418" s="792">
        <f t="shared" si="27"/>
        <v>0</v>
      </c>
      <c r="N418" s="812"/>
      <c r="O418" s="792">
        <f t="shared" si="28"/>
        <v>0</v>
      </c>
      <c r="P418" s="792">
        <f t="shared" si="29"/>
        <v>0</v>
      </c>
    </row>
    <row r="419" spans="1:17">
      <c r="C419" s="788">
        <f>IF(D356="","-",+C418+1)</f>
        <v>2070</v>
      </c>
      <c r="D419" s="736">
        <f t="shared" si="34"/>
        <v>0</v>
      </c>
      <c r="E419" s="789">
        <f t="shared" si="32"/>
        <v>0</v>
      </c>
      <c r="F419" s="789">
        <f t="shared" si="26"/>
        <v>0</v>
      </c>
      <c r="G419" s="736">
        <f t="shared" si="31"/>
        <v>0</v>
      </c>
      <c r="H419" s="794">
        <f>+J357*G419+E419</f>
        <v>0</v>
      </c>
      <c r="I419" s="795">
        <f>+J358*G419+E419</f>
        <v>0</v>
      </c>
      <c r="J419" s="792">
        <f t="shared" si="33"/>
        <v>0</v>
      </c>
      <c r="K419" s="792"/>
      <c r="L419" s="812"/>
      <c r="M419" s="792">
        <f t="shared" si="27"/>
        <v>0</v>
      </c>
      <c r="N419" s="812"/>
      <c r="O419" s="792">
        <f t="shared" si="28"/>
        <v>0</v>
      </c>
      <c r="P419" s="792">
        <f t="shared" si="29"/>
        <v>0</v>
      </c>
    </row>
    <row r="420" spans="1:17">
      <c r="C420" s="788">
        <f>IF(D356="","-",+C419+1)</f>
        <v>2071</v>
      </c>
      <c r="D420" s="736">
        <f t="shared" si="34"/>
        <v>0</v>
      </c>
      <c r="E420" s="789">
        <f t="shared" si="32"/>
        <v>0</v>
      </c>
      <c r="F420" s="789">
        <f t="shared" si="26"/>
        <v>0</v>
      </c>
      <c r="G420" s="736">
        <f t="shared" si="31"/>
        <v>0</v>
      </c>
      <c r="H420" s="794">
        <f>+J357*G420+E420</f>
        <v>0</v>
      </c>
      <c r="I420" s="795">
        <f>+J358*G420+E420</f>
        <v>0</v>
      </c>
      <c r="J420" s="792">
        <f t="shared" si="33"/>
        <v>0</v>
      </c>
      <c r="K420" s="792"/>
      <c r="L420" s="812"/>
      <c r="M420" s="792">
        <f t="shared" si="27"/>
        <v>0</v>
      </c>
      <c r="N420" s="812"/>
      <c r="O420" s="792">
        <f t="shared" si="28"/>
        <v>0</v>
      </c>
      <c r="P420" s="792">
        <f t="shared" si="29"/>
        <v>0</v>
      </c>
    </row>
    <row r="421" spans="1:17" ht="13.5" thickBot="1">
      <c r="C421" s="798">
        <f>IF(D356="","-",+C420+1)</f>
        <v>2072</v>
      </c>
      <c r="D421" s="799">
        <f t="shared" si="34"/>
        <v>0</v>
      </c>
      <c r="E421" s="800">
        <f>IF(D421&gt;$J$272,$J$272,D421)</f>
        <v>0</v>
      </c>
      <c r="F421" s="800">
        <f t="shared" si="26"/>
        <v>0</v>
      </c>
      <c r="G421" s="799">
        <f t="shared" si="31"/>
        <v>0</v>
      </c>
      <c r="H421" s="801">
        <f>+J357*G421+E421</f>
        <v>0</v>
      </c>
      <c r="I421" s="801">
        <f>+J358*G421+E421</f>
        <v>0</v>
      </c>
      <c r="J421" s="802">
        <f t="shared" si="33"/>
        <v>0</v>
      </c>
      <c r="K421" s="792"/>
      <c r="L421" s="813"/>
      <c r="M421" s="802">
        <f t="shared" si="27"/>
        <v>0</v>
      </c>
      <c r="N421" s="813"/>
      <c r="O421" s="802">
        <f t="shared" si="28"/>
        <v>0</v>
      </c>
      <c r="P421" s="802">
        <f t="shared" si="29"/>
        <v>0</v>
      </c>
    </row>
    <row r="422" spans="1:17">
      <c r="C422" s="736" t="s">
        <v>83</v>
      </c>
      <c r="D422" s="730"/>
      <c r="E422" s="730">
        <f>SUM(E362:E421)</f>
        <v>4305128.67</v>
      </c>
      <c r="F422" s="730"/>
      <c r="G422" s="730"/>
      <c r="H422" s="730">
        <f>SUM(H362:H421)</f>
        <v>15814119.121365603</v>
      </c>
      <c r="I422" s="730">
        <f>SUM(I362:I421)</f>
        <v>15814119.121365603</v>
      </c>
      <c r="J422" s="730">
        <f>SUM(J362:J421)</f>
        <v>0</v>
      </c>
      <c r="K422" s="730"/>
      <c r="L422" s="730"/>
      <c r="M422" s="730"/>
      <c r="N422" s="730"/>
      <c r="O422" s="730"/>
    </row>
    <row r="423" spans="1:17">
      <c r="D423" s="538"/>
      <c r="E423" s="313"/>
      <c r="F423" s="313"/>
      <c r="G423" s="313"/>
      <c r="H423" s="313"/>
      <c r="I423" s="708"/>
      <c r="J423" s="708"/>
      <c r="K423" s="730"/>
      <c r="L423" s="708"/>
      <c r="M423" s="708"/>
      <c r="N423" s="708"/>
      <c r="O423" s="708"/>
    </row>
    <row r="424" spans="1:17">
      <c r="C424" s="313" t="s">
        <v>13</v>
      </c>
      <c r="D424" s="538"/>
      <c r="E424" s="313"/>
      <c r="F424" s="313"/>
      <c r="G424" s="313"/>
      <c r="H424" s="313"/>
      <c r="I424" s="708"/>
      <c r="J424" s="708"/>
      <c r="K424" s="730"/>
      <c r="L424" s="708"/>
      <c r="M424" s="708"/>
      <c r="N424" s="708"/>
      <c r="O424" s="708"/>
    </row>
    <row r="425" spans="1:17">
      <c r="C425" s="313"/>
      <c r="D425" s="538"/>
      <c r="E425" s="313"/>
      <c r="F425" s="313"/>
      <c r="G425" s="313"/>
      <c r="H425" s="313"/>
      <c r="I425" s="708"/>
      <c r="J425" s="708"/>
      <c r="K425" s="730"/>
      <c r="L425" s="708"/>
      <c r="M425" s="708"/>
      <c r="N425" s="708"/>
      <c r="O425" s="708"/>
    </row>
    <row r="426" spans="1:17">
      <c r="C426" s="749" t="s">
        <v>14</v>
      </c>
      <c r="D426" s="736"/>
      <c r="E426" s="736"/>
      <c r="F426" s="736"/>
      <c r="G426" s="736"/>
      <c r="H426" s="730"/>
      <c r="I426" s="730"/>
      <c r="J426" s="804"/>
      <c r="K426" s="804"/>
      <c r="L426" s="804"/>
      <c r="M426" s="804"/>
      <c r="N426" s="804"/>
      <c r="O426" s="804"/>
    </row>
    <row r="427" spans="1:17">
      <c r="C427" s="735" t="s">
        <v>263</v>
      </c>
      <c r="D427" s="736"/>
      <c r="E427" s="736"/>
      <c r="F427" s="736"/>
      <c r="G427" s="736"/>
      <c r="H427" s="730"/>
      <c r="I427" s="730"/>
      <c r="J427" s="804"/>
      <c r="K427" s="804"/>
      <c r="L427" s="804"/>
      <c r="M427" s="804"/>
      <c r="N427" s="804"/>
      <c r="O427" s="804"/>
    </row>
    <row r="428" spans="1:17">
      <c r="C428" s="735" t="s">
        <v>84</v>
      </c>
      <c r="D428" s="736"/>
      <c r="E428" s="736"/>
      <c r="F428" s="736"/>
      <c r="G428" s="736"/>
      <c r="H428" s="730"/>
      <c r="I428" s="730"/>
      <c r="J428" s="804"/>
      <c r="K428" s="804"/>
      <c r="L428" s="804"/>
      <c r="M428" s="804"/>
      <c r="N428" s="804"/>
      <c r="O428" s="804"/>
    </row>
    <row r="430" spans="1:17" ht="20.25">
      <c r="A430" s="737" t="str">
        <f>""&amp;A355&amp;" Worksheet K -  ATRR TRUE-UP Calculation for PJM Projects Charged to Benefiting Zones"</f>
        <v xml:space="preserve"> Worksheet K -  ATRR TRUE-UP Calculation for PJM Projects Charged to Benefiting Zones</v>
      </c>
      <c r="B430" s="347"/>
      <c r="C430" s="725"/>
      <c r="D430" s="538"/>
      <c r="E430" s="313"/>
      <c r="F430" s="707"/>
      <c r="G430" s="707"/>
      <c r="H430" s="313"/>
      <c r="I430" s="708"/>
      <c r="L430" s="564"/>
      <c r="M430" s="564"/>
      <c r="N430" s="564"/>
      <c r="O430" s="653" t="str">
        <f>"Page "&amp;SUM(Q$8:Q430)&amp;" of "</f>
        <v xml:space="preserve">Page 6 of </v>
      </c>
      <c r="P430" s="654">
        <f>COUNT(Q$8:Q$57703)</f>
        <v>22</v>
      </c>
      <c r="Q430" s="655">
        <v>1</v>
      </c>
    </row>
    <row r="431" spans="1:17">
      <c r="B431" s="347"/>
      <c r="C431" s="313"/>
      <c r="D431" s="538"/>
      <c r="E431" s="313"/>
      <c r="F431" s="313"/>
      <c r="G431" s="313"/>
      <c r="H431" s="313"/>
      <c r="I431" s="708"/>
      <c r="J431" s="313"/>
      <c r="K431" s="426"/>
    </row>
    <row r="432" spans="1:17" ht="18">
      <c r="B432" s="657" t="s">
        <v>466</v>
      </c>
      <c r="C432" s="739" t="s">
        <v>85</v>
      </c>
      <c r="D432" s="538"/>
      <c r="E432" s="313"/>
      <c r="F432" s="313"/>
      <c r="G432" s="313"/>
      <c r="H432" s="313"/>
      <c r="I432" s="708"/>
      <c r="J432" s="708"/>
      <c r="K432" s="730"/>
      <c r="L432" s="708"/>
      <c r="M432" s="708"/>
      <c r="N432" s="708"/>
      <c r="O432" s="708"/>
    </row>
    <row r="433" spans="2:16" ht="18.75">
      <c r="B433" s="657"/>
      <c r="C433" s="656"/>
      <c r="D433" s="538"/>
      <c r="E433" s="313"/>
      <c r="F433" s="313"/>
      <c r="G433" s="313"/>
      <c r="H433" s="313"/>
      <c r="I433" s="708"/>
      <c r="J433" s="708"/>
      <c r="K433" s="730"/>
      <c r="L433" s="708"/>
      <c r="M433" s="708"/>
      <c r="N433" s="708"/>
      <c r="O433" s="708"/>
    </row>
    <row r="434" spans="2:16" ht="18.75">
      <c r="B434" s="657"/>
      <c r="C434" s="656" t="s">
        <v>86</v>
      </c>
      <c r="D434" s="538"/>
      <c r="E434" s="313"/>
      <c r="F434" s="313"/>
      <c r="G434" s="313"/>
      <c r="H434" s="313"/>
      <c r="I434" s="708"/>
      <c r="J434" s="708"/>
      <c r="K434" s="730"/>
      <c r="L434" s="708"/>
      <c r="M434" s="708"/>
      <c r="N434" s="708"/>
      <c r="O434" s="708"/>
    </row>
    <row r="435" spans="2:16" ht="15.75" thickBot="1">
      <c r="C435" s="239"/>
      <c r="D435" s="538"/>
      <c r="E435" s="313"/>
      <c r="F435" s="313"/>
      <c r="G435" s="313"/>
      <c r="H435" s="313"/>
      <c r="I435" s="708"/>
      <c r="J435" s="708"/>
      <c r="K435" s="730"/>
      <c r="L435" s="708"/>
      <c r="M435" s="708"/>
      <c r="N435" s="708"/>
      <c r="O435" s="708"/>
    </row>
    <row r="436" spans="2:16" ht="15.75">
      <c r="C436" s="659" t="s">
        <v>87</v>
      </c>
      <c r="D436" s="538"/>
      <c r="E436" s="313"/>
      <c r="F436" s="313"/>
      <c r="G436" s="313"/>
      <c r="H436" s="806"/>
      <c r="I436" s="313" t="s">
        <v>66</v>
      </c>
      <c r="J436" s="313"/>
      <c r="K436" s="426"/>
      <c r="L436" s="835">
        <f>+J442</f>
        <v>2023</v>
      </c>
      <c r="M436" s="816" t="s">
        <v>45</v>
      </c>
      <c r="N436" s="816" t="s">
        <v>46</v>
      </c>
      <c r="O436" s="817" t="s">
        <v>47</v>
      </c>
    </row>
    <row r="437" spans="2:16" ht="15.75">
      <c r="C437" s="659"/>
      <c r="D437" s="538"/>
      <c r="E437" s="313"/>
      <c r="F437" s="313"/>
      <c r="H437" s="313"/>
      <c r="I437" s="744"/>
      <c r="J437" s="744"/>
      <c r="K437" s="745"/>
      <c r="L437" s="836" t="s">
        <v>235</v>
      </c>
      <c r="M437" s="837">
        <f>VLOOKUP(J442,C449:P508,10)</f>
        <v>149626.51092724025</v>
      </c>
      <c r="N437" s="837">
        <f>VLOOKUP(J442,C449:P508,12)</f>
        <v>149626.51092724025</v>
      </c>
      <c r="O437" s="838">
        <f>+N437-M437</f>
        <v>0</v>
      </c>
    </row>
    <row r="438" spans="2:16" ht="12.95" customHeight="1">
      <c r="C438" s="749" t="s">
        <v>88</v>
      </c>
      <c r="D438" s="1537" t="s">
        <v>812</v>
      </c>
      <c r="E438" s="1537"/>
      <c r="F438" s="1537"/>
      <c r="G438" s="1537"/>
      <c r="H438" s="1537"/>
      <c r="I438" s="1537"/>
      <c r="J438" s="708"/>
      <c r="K438" s="730"/>
      <c r="L438" s="836" t="s">
        <v>236</v>
      </c>
      <c r="M438" s="839">
        <f>VLOOKUP(J442,C449:P508,6)</f>
        <v>143340.59879792132</v>
      </c>
      <c r="N438" s="839">
        <f>VLOOKUP(J442,C449:P508,7)</f>
        <v>143340.59879792132</v>
      </c>
      <c r="O438" s="840">
        <f>+N438-M438</f>
        <v>0</v>
      </c>
    </row>
    <row r="439" spans="2:16" ht="13.5" thickBot="1">
      <c r="C439" s="753"/>
      <c r="D439" s="1537" t="s">
        <v>408</v>
      </c>
      <c r="E439" s="1537"/>
      <c r="F439" s="1537"/>
      <c r="G439" s="1537"/>
      <c r="H439" s="1537"/>
      <c r="I439" s="1537"/>
      <c r="J439" s="708"/>
      <c r="K439" s="730"/>
      <c r="L439" s="772" t="s">
        <v>237</v>
      </c>
      <c r="M439" s="841">
        <f>+M438-M437</f>
        <v>-6285.9121293189237</v>
      </c>
      <c r="N439" s="841">
        <f>+N438-N437</f>
        <v>-6285.9121293189237</v>
      </c>
      <c r="O439" s="842">
        <f>+O438-O437</f>
        <v>0</v>
      </c>
    </row>
    <row r="440" spans="2:16" ht="13.5" thickBot="1">
      <c r="C440" s="756"/>
      <c r="D440" s="757"/>
      <c r="E440" s="755"/>
      <c r="F440" s="755"/>
      <c r="G440" s="755"/>
      <c r="H440" s="755"/>
      <c r="I440" s="755"/>
      <c r="J440" s="755"/>
      <c r="K440" s="758"/>
      <c r="L440" s="755"/>
      <c r="M440" s="755"/>
      <c r="N440" s="755"/>
      <c r="O440" s="755"/>
      <c r="P440" s="347"/>
    </row>
    <row r="441" spans="2:16" ht="13.5" thickBot="1">
      <c r="C441" s="759" t="s">
        <v>89</v>
      </c>
      <c r="D441" s="760"/>
      <c r="E441" s="760"/>
      <c r="F441" s="760"/>
      <c r="G441" s="760"/>
      <c r="H441" s="760"/>
      <c r="I441" s="760"/>
      <c r="J441" s="760"/>
      <c r="K441" s="762"/>
      <c r="P441" s="763"/>
    </row>
    <row r="442" spans="2:16" ht="15">
      <c r="C442" s="764" t="s">
        <v>67</v>
      </c>
      <c r="D442" s="808">
        <v>1076416.06</v>
      </c>
      <c r="E442" s="725" t="s">
        <v>68</v>
      </c>
      <c r="H442" s="765"/>
      <c r="I442" s="765"/>
      <c r="J442" s="766">
        <f>$J$93</f>
        <v>2023</v>
      </c>
      <c r="K442" s="554"/>
      <c r="L442" s="1536" t="s">
        <v>69</v>
      </c>
      <c r="M442" s="1536"/>
      <c r="N442" s="1536"/>
      <c r="O442" s="1536"/>
      <c r="P442" s="426"/>
    </row>
    <row r="443" spans="2:16">
      <c r="C443" s="764" t="s">
        <v>70</v>
      </c>
      <c r="D443" s="809">
        <v>2013</v>
      </c>
      <c r="E443" s="764" t="s">
        <v>71</v>
      </c>
      <c r="F443" s="765"/>
      <c r="G443" s="765"/>
      <c r="I443" s="172"/>
      <c r="J443" s="810">
        <f>IF(H436="",0,$F$17)</f>
        <v>0</v>
      </c>
      <c r="K443" s="767"/>
      <c r="L443" s="730" t="s">
        <v>277</v>
      </c>
      <c r="P443" s="426"/>
    </row>
    <row r="444" spans="2:16">
      <c r="C444" s="764" t="s">
        <v>72</v>
      </c>
      <c r="D444" s="808">
        <v>10</v>
      </c>
      <c r="E444" s="764" t="s">
        <v>73</v>
      </c>
      <c r="F444" s="765"/>
      <c r="G444" s="765"/>
      <c r="I444" s="172"/>
      <c r="J444" s="768">
        <f>$F$70</f>
        <v>0.14450383244078713</v>
      </c>
      <c r="K444" s="769"/>
      <c r="L444" s="313" t="str">
        <f>"          INPUT TRUE-UP ARR (WITH &amp; WITHOUT INCENTIVES) FROM EACH PRIOR YEAR"</f>
        <v xml:space="preserve">          INPUT TRUE-UP ARR (WITH &amp; WITHOUT INCENTIVES) FROM EACH PRIOR YEAR</v>
      </c>
      <c r="P444" s="426"/>
    </row>
    <row r="445" spans="2:16">
      <c r="C445" s="764" t="s">
        <v>74</v>
      </c>
      <c r="D445" s="770">
        <f>H$79</f>
        <v>35</v>
      </c>
      <c r="E445" s="764" t="s">
        <v>75</v>
      </c>
      <c r="F445" s="765"/>
      <c r="G445" s="765"/>
      <c r="I445" s="172"/>
      <c r="J445" s="768">
        <f>IF(H436="",+J444,$F$69)</f>
        <v>0.14450383244078713</v>
      </c>
      <c r="K445" s="771"/>
      <c r="L445" s="313" t="s">
        <v>157</v>
      </c>
      <c r="M445" s="771"/>
      <c r="N445" s="771"/>
      <c r="O445" s="771"/>
      <c r="P445" s="426"/>
    </row>
    <row r="446" spans="2:16" ht="13.5" thickBot="1">
      <c r="C446" s="764" t="s">
        <v>76</v>
      </c>
      <c r="D446" s="807" t="s">
        <v>808</v>
      </c>
      <c r="E446" s="772" t="s">
        <v>77</v>
      </c>
      <c r="F446" s="773"/>
      <c r="G446" s="773"/>
      <c r="H446" s="774"/>
      <c r="I446" s="774"/>
      <c r="J446" s="752">
        <f>IF(D442=0,0,D442/D445)</f>
        <v>30754.744571428571</v>
      </c>
      <c r="K446" s="730"/>
      <c r="L446" s="730" t="s">
        <v>158</v>
      </c>
      <c r="M446" s="730"/>
      <c r="N446" s="730"/>
      <c r="O446" s="730"/>
      <c r="P446" s="426"/>
    </row>
    <row r="447" spans="2:16" ht="38.25">
      <c r="B447" s="845"/>
      <c r="C447" s="775" t="s">
        <v>67</v>
      </c>
      <c r="D447" s="776" t="s">
        <v>78</v>
      </c>
      <c r="E447" s="777" t="s">
        <v>79</v>
      </c>
      <c r="F447" s="776" t="s">
        <v>80</v>
      </c>
      <c r="G447" s="776" t="s">
        <v>238</v>
      </c>
      <c r="H447" s="777" t="s">
        <v>151</v>
      </c>
      <c r="I447" s="778" t="s">
        <v>151</v>
      </c>
      <c r="J447" s="775" t="s">
        <v>90</v>
      </c>
      <c r="K447" s="779"/>
      <c r="L447" s="777" t="s">
        <v>153</v>
      </c>
      <c r="M447" s="777" t="s">
        <v>159</v>
      </c>
      <c r="N447" s="777" t="s">
        <v>153</v>
      </c>
      <c r="O447" s="777" t="s">
        <v>161</v>
      </c>
      <c r="P447" s="777" t="s">
        <v>81</v>
      </c>
    </row>
    <row r="448" spans="2:16" ht="13.5" thickBot="1">
      <c r="C448" s="781" t="s">
        <v>469</v>
      </c>
      <c r="D448" s="782" t="s">
        <v>470</v>
      </c>
      <c r="E448" s="781" t="s">
        <v>363</v>
      </c>
      <c r="F448" s="782" t="s">
        <v>470</v>
      </c>
      <c r="G448" s="782" t="s">
        <v>470</v>
      </c>
      <c r="H448" s="783" t="s">
        <v>93</v>
      </c>
      <c r="I448" s="784" t="s">
        <v>95</v>
      </c>
      <c r="J448" s="785" t="s">
        <v>15</v>
      </c>
      <c r="K448" s="786"/>
      <c r="L448" s="783" t="s">
        <v>82</v>
      </c>
      <c r="M448" s="783" t="s">
        <v>82</v>
      </c>
      <c r="N448" s="783" t="s">
        <v>255</v>
      </c>
      <c r="O448" s="783" t="s">
        <v>255</v>
      </c>
      <c r="P448" s="783" t="s">
        <v>255</v>
      </c>
    </row>
    <row r="449" spans="3:16">
      <c r="C449" s="788">
        <f>IF(D443= "","-",D443)</f>
        <v>2013</v>
      </c>
      <c r="D449" s="736">
        <f>+D442</f>
        <v>1076416.06</v>
      </c>
      <c r="E449" s="794">
        <f>+J446/12*(12-D444)</f>
        <v>5125.7907619047619</v>
      </c>
      <c r="F449" s="843">
        <f t="shared" ref="F449:F508" si="35">+D449-E449</f>
        <v>1071290.2692380953</v>
      </c>
      <c r="G449" s="736">
        <f>+(D449+F449)/2</f>
        <v>1073853.1646190477</v>
      </c>
      <c r="H449" s="790">
        <f>+J444*G449+E449</f>
        <v>160301.68852802462</v>
      </c>
      <c r="I449" s="791">
        <f>+J445*G449+E449</f>
        <v>160301.68852802462</v>
      </c>
      <c r="J449" s="792">
        <f>+I449-H449</f>
        <v>0</v>
      </c>
      <c r="K449" s="792"/>
      <c r="L449" s="811">
        <v>124755</v>
      </c>
      <c r="M449" s="844">
        <f t="shared" ref="M449:M508" si="36">IF(L449&lt;&gt;0,+H449-L449,0)</f>
        <v>35546.688528024621</v>
      </c>
      <c r="N449" s="811">
        <v>124755</v>
      </c>
      <c r="O449" s="844">
        <f t="shared" ref="O449:O508" si="37">IF(N449&lt;&gt;0,+I449-N449,0)</f>
        <v>35546.688528024621</v>
      </c>
      <c r="P449" s="844">
        <f t="shared" ref="P449:P508" si="38">+O449-M449</f>
        <v>0</v>
      </c>
    </row>
    <row r="450" spans="3:16">
      <c r="C450" s="788">
        <f>IF(D443="","-",+C449+1)</f>
        <v>2014</v>
      </c>
      <c r="D450" s="736">
        <f t="shared" ref="D450:D502" si="39">F449</f>
        <v>1071290.2692380953</v>
      </c>
      <c r="E450" s="789">
        <f>IF(D450&gt;$J$446,$J$446,D450)</f>
        <v>30754.744571428571</v>
      </c>
      <c r="F450" s="789">
        <f t="shared" si="35"/>
        <v>1040535.5246666668</v>
      </c>
      <c r="G450" s="736">
        <f t="shared" ref="G450:G508" si="40">+(D450+F450)/2</f>
        <v>1055912.8969523809</v>
      </c>
      <c r="H450" s="794">
        <f>+J444*G450+E450</f>
        <v>183338.20490470153</v>
      </c>
      <c r="I450" s="795">
        <f>+J445*G450+E450</f>
        <v>183338.20490470153</v>
      </c>
      <c r="J450" s="792">
        <f>+I450-H450</f>
        <v>0</v>
      </c>
      <c r="K450" s="792"/>
      <c r="L450" s="812">
        <v>140765</v>
      </c>
      <c r="M450" s="792">
        <f t="shared" si="36"/>
        <v>42573.204904701532</v>
      </c>
      <c r="N450" s="812">
        <v>140765</v>
      </c>
      <c r="O450" s="792">
        <f t="shared" si="37"/>
        <v>42573.204904701532</v>
      </c>
      <c r="P450" s="792">
        <f t="shared" si="38"/>
        <v>0</v>
      </c>
    </row>
    <row r="451" spans="3:16">
      <c r="C451" s="788">
        <f>IF(D443="","-",+C450+1)</f>
        <v>2015</v>
      </c>
      <c r="D451" s="736">
        <f t="shared" si="39"/>
        <v>1040535.5246666668</v>
      </c>
      <c r="E451" s="789">
        <f t="shared" ref="E451:E508" si="41">IF(D451&gt;$J$446,$J$446,D451)</f>
        <v>30754.744571428571</v>
      </c>
      <c r="F451" s="789">
        <f t="shared" si="35"/>
        <v>1009780.7800952382</v>
      </c>
      <c r="G451" s="736">
        <f t="shared" si="40"/>
        <v>1025158.1523809525</v>
      </c>
      <c r="H451" s="794">
        <f>+J444*G451+E451</f>
        <v>178894.02644839266</v>
      </c>
      <c r="I451" s="795">
        <f>+J445*G451+E451</f>
        <v>178894.02644839266</v>
      </c>
      <c r="J451" s="792">
        <f t="shared" ref="J451:J508" si="42">+I451-H451</f>
        <v>0</v>
      </c>
      <c r="K451" s="792"/>
      <c r="L451" s="812">
        <v>137783</v>
      </c>
      <c r="M451" s="792">
        <f t="shared" si="36"/>
        <v>41111.026448392658</v>
      </c>
      <c r="N451" s="812">
        <v>137783</v>
      </c>
      <c r="O451" s="792">
        <f t="shared" si="37"/>
        <v>41111.026448392658</v>
      </c>
      <c r="P451" s="792">
        <f t="shared" si="38"/>
        <v>0</v>
      </c>
    </row>
    <row r="452" spans="3:16">
      <c r="C452" s="788">
        <f>IF(D443="","-",+C451+1)</f>
        <v>2016</v>
      </c>
      <c r="D452" s="736">
        <f t="shared" si="39"/>
        <v>1009780.7800952382</v>
      </c>
      <c r="E452" s="789">
        <f t="shared" si="41"/>
        <v>30754.744571428571</v>
      </c>
      <c r="F452" s="789">
        <f t="shared" si="35"/>
        <v>979026.03552380973</v>
      </c>
      <c r="G452" s="736">
        <f t="shared" si="40"/>
        <v>994403.40780952398</v>
      </c>
      <c r="H452" s="794">
        <f>+J444*G452+E452</f>
        <v>174449.84799208373</v>
      </c>
      <c r="I452" s="795">
        <f>+J445*G452+E452</f>
        <v>174449.84799208373</v>
      </c>
      <c r="J452" s="792">
        <f t="shared" si="42"/>
        <v>0</v>
      </c>
      <c r="K452" s="792"/>
      <c r="L452" s="812">
        <v>151179</v>
      </c>
      <c r="M452" s="792">
        <f t="shared" si="36"/>
        <v>23270.847992083727</v>
      </c>
      <c r="N452" s="812">
        <v>151179</v>
      </c>
      <c r="O452" s="792">
        <f t="shared" si="37"/>
        <v>23270.847992083727</v>
      </c>
      <c r="P452" s="792">
        <f t="shared" si="38"/>
        <v>0</v>
      </c>
    </row>
    <row r="453" spans="3:16">
      <c r="C453" s="788">
        <f>IF(D443="","-",+C452+1)</f>
        <v>2017</v>
      </c>
      <c r="D453" s="736">
        <f t="shared" si="39"/>
        <v>979026.03552380973</v>
      </c>
      <c r="E453" s="789">
        <f t="shared" si="41"/>
        <v>30754.744571428571</v>
      </c>
      <c r="F453" s="789">
        <f t="shared" si="35"/>
        <v>948271.29095238121</v>
      </c>
      <c r="G453" s="736">
        <f t="shared" si="40"/>
        <v>963648.66323809547</v>
      </c>
      <c r="H453" s="794">
        <f>+J444*G453+E453</f>
        <v>170005.66953577482</v>
      </c>
      <c r="I453" s="795">
        <f>+J445*G453+E453</f>
        <v>170005.66953577482</v>
      </c>
      <c r="J453" s="792">
        <f t="shared" si="42"/>
        <v>0</v>
      </c>
      <c r="K453" s="792"/>
      <c r="L453" s="812">
        <v>180849</v>
      </c>
      <c r="M453" s="792">
        <f t="shared" si="36"/>
        <v>-10843.330464225175</v>
      </c>
      <c r="N453" s="812">
        <v>180849</v>
      </c>
      <c r="O453" s="792">
        <f t="shared" si="37"/>
        <v>-10843.330464225175</v>
      </c>
      <c r="P453" s="792">
        <f t="shared" si="38"/>
        <v>0</v>
      </c>
    </row>
    <row r="454" spans="3:16">
      <c r="C454" s="788">
        <f>IF(D443="","-",+C453+1)</f>
        <v>2018</v>
      </c>
      <c r="D454" s="1402">
        <f t="shared" si="39"/>
        <v>948271.29095238121</v>
      </c>
      <c r="E454" s="789">
        <f t="shared" si="41"/>
        <v>30754.744571428571</v>
      </c>
      <c r="F454" s="789">
        <f t="shared" si="35"/>
        <v>917516.5463809527</v>
      </c>
      <c r="G454" s="736">
        <f t="shared" si="40"/>
        <v>932893.91866666696</v>
      </c>
      <c r="H454" s="794">
        <f>+J444*G454+E454</f>
        <v>165561.49107946589</v>
      </c>
      <c r="I454" s="795">
        <f>+J445*G454+E454</f>
        <v>165561.49107946589</v>
      </c>
      <c r="J454" s="792">
        <f t="shared" si="42"/>
        <v>0</v>
      </c>
      <c r="K454" s="792"/>
      <c r="L454" s="812">
        <v>160698</v>
      </c>
      <c r="M454" s="792">
        <f t="shared" si="36"/>
        <v>4863.4910794658936</v>
      </c>
      <c r="N454" s="812">
        <v>160698</v>
      </c>
      <c r="O454" s="792">
        <f t="shared" si="37"/>
        <v>4863.4910794658936</v>
      </c>
      <c r="P454" s="792">
        <f t="shared" si="38"/>
        <v>0</v>
      </c>
    </row>
    <row r="455" spans="3:16">
      <c r="C455" s="788">
        <f>IF(D443="","-",+C454+1)</f>
        <v>2019</v>
      </c>
      <c r="D455" s="1321">
        <f t="shared" si="39"/>
        <v>917516.5463809527</v>
      </c>
      <c r="E455" s="789">
        <f t="shared" si="41"/>
        <v>30754.744571428571</v>
      </c>
      <c r="F455" s="789">
        <f t="shared" si="35"/>
        <v>886761.80180952419</v>
      </c>
      <c r="G455" s="736">
        <f t="shared" si="40"/>
        <v>902139.17409523844</v>
      </c>
      <c r="H455" s="794">
        <f>+J444*G455+E455</f>
        <v>161117.31262315699</v>
      </c>
      <c r="I455" s="795">
        <f>+J445*G455+E455</f>
        <v>161117.31262315699</v>
      </c>
      <c r="J455" s="792">
        <f t="shared" si="42"/>
        <v>0</v>
      </c>
      <c r="K455" s="792"/>
      <c r="L455" s="812">
        <v>164397.92128673784</v>
      </c>
      <c r="M455" s="792">
        <f t="shared" si="36"/>
        <v>-3280.608663580846</v>
      </c>
      <c r="N455" s="812">
        <v>164397.92128673784</v>
      </c>
      <c r="O455" s="792">
        <f t="shared" si="37"/>
        <v>-3280.608663580846</v>
      </c>
      <c r="P455" s="792">
        <f t="shared" si="38"/>
        <v>0</v>
      </c>
    </row>
    <row r="456" spans="3:16">
      <c r="C456" s="788">
        <f>IF(D443="","-",+C455+1)</f>
        <v>2020</v>
      </c>
      <c r="D456" s="1321">
        <f t="shared" si="39"/>
        <v>886761.80180952419</v>
      </c>
      <c r="E456" s="789">
        <f t="shared" si="41"/>
        <v>30754.744571428571</v>
      </c>
      <c r="F456" s="789">
        <f t="shared" si="35"/>
        <v>856007.05723809567</v>
      </c>
      <c r="G456" s="736">
        <f t="shared" si="40"/>
        <v>871384.42952380993</v>
      </c>
      <c r="H456" s="794">
        <f>+J444*G456+E456</f>
        <v>156673.13416684809</v>
      </c>
      <c r="I456" s="795">
        <f>+J445*G456+E456</f>
        <v>156673.13416684809</v>
      </c>
      <c r="J456" s="792">
        <f t="shared" si="42"/>
        <v>0</v>
      </c>
      <c r="K456" s="792"/>
      <c r="L456" s="812">
        <v>171745.07755803992</v>
      </c>
      <c r="M456" s="792">
        <f t="shared" si="36"/>
        <v>-15071.943391191831</v>
      </c>
      <c r="N456" s="812">
        <v>171745.07755803992</v>
      </c>
      <c r="O456" s="792">
        <f t="shared" si="37"/>
        <v>-15071.943391191831</v>
      </c>
      <c r="P456" s="792">
        <f t="shared" si="38"/>
        <v>0</v>
      </c>
    </row>
    <row r="457" spans="3:16">
      <c r="C457" s="788">
        <f>IF(D443="","-",+C456+1)</f>
        <v>2021</v>
      </c>
      <c r="D457" s="736">
        <f t="shared" si="39"/>
        <v>856007.05723809567</v>
      </c>
      <c r="E457" s="789">
        <f t="shared" si="41"/>
        <v>30754.744571428571</v>
      </c>
      <c r="F457" s="789">
        <f t="shared" si="35"/>
        <v>825252.31266666716</v>
      </c>
      <c r="G457" s="736">
        <f t="shared" si="40"/>
        <v>840629.68495238142</v>
      </c>
      <c r="H457" s="794">
        <f>+J444*G457+E457</f>
        <v>152228.95571053919</v>
      </c>
      <c r="I457" s="795">
        <f>+J445*G457+E457</f>
        <v>152228.95571053919</v>
      </c>
      <c r="J457" s="792">
        <f t="shared" si="42"/>
        <v>0</v>
      </c>
      <c r="K457" s="792"/>
      <c r="L457" s="812">
        <v>154431.7651169888</v>
      </c>
      <c r="M457" s="792">
        <f t="shared" si="36"/>
        <v>-2202.8094064496108</v>
      </c>
      <c r="N457" s="812">
        <v>154431.7651169888</v>
      </c>
      <c r="O457" s="792">
        <f t="shared" si="37"/>
        <v>-2202.8094064496108</v>
      </c>
      <c r="P457" s="792">
        <f t="shared" si="38"/>
        <v>0</v>
      </c>
    </row>
    <row r="458" spans="3:16">
      <c r="C458" s="788">
        <f>IF(D443="","-",+C457+1)</f>
        <v>2022</v>
      </c>
      <c r="D458" s="736">
        <f t="shared" si="39"/>
        <v>825252.31266666716</v>
      </c>
      <c r="E458" s="789">
        <f t="shared" si="41"/>
        <v>30754.744571428571</v>
      </c>
      <c r="F458" s="789">
        <f t="shared" si="35"/>
        <v>794497.56809523865</v>
      </c>
      <c r="G458" s="736">
        <f t="shared" si="40"/>
        <v>809874.9403809529</v>
      </c>
      <c r="H458" s="794">
        <f>+J444*G458+E458</f>
        <v>147784.77725423026</v>
      </c>
      <c r="I458" s="795">
        <f>+J445*G458+E458</f>
        <v>147784.77725423026</v>
      </c>
      <c r="J458" s="792">
        <f t="shared" si="42"/>
        <v>0</v>
      </c>
      <c r="K458" s="792"/>
      <c r="L458" s="812">
        <v>153871.99633038399</v>
      </c>
      <c r="M458" s="792">
        <f t="shared" si="36"/>
        <v>-6087.2190761537349</v>
      </c>
      <c r="N458" s="812">
        <v>153871.99633038399</v>
      </c>
      <c r="O458" s="792">
        <f t="shared" si="37"/>
        <v>-6087.2190761537349</v>
      </c>
      <c r="P458" s="792">
        <f t="shared" si="38"/>
        <v>0</v>
      </c>
    </row>
    <row r="459" spans="3:16">
      <c r="C459" s="788">
        <f>IF(D443="","-",+C458+1)</f>
        <v>2023</v>
      </c>
      <c r="D459" s="736">
        <f t="shared" si="39"/>
        <v>794497.56809523865</v>
      </c>
      <c r="E459" s="789">
        <f t="shared" si="41"/>
        <v>30754.744571428571</v>
      </c>
      <c r="F459" s="789">
        <f t="shared" si="35"/>
        <v>763742.82352381013</v>
      </c>
      <c r="G459" s="736">
        <f t="shared" si="40"/>
        <v>779120.19580952439</v>
      </c>
      <c r="H459" s="794">
        <f>+J444*G459+E459</f>
        <v>143340.59879792132</v>
      </c>
      <c r="I459" s="795">
        <f>+J445*G459+E459</f>
        <v>143340.59879792132</v>
      </c>
      <c r="J459" s="792">
        <f t="shared" si="42"/>
        <v>0</v>
      </c>
      <c r="K459" s="792"/>
      <c r="L459" s="812">
        <v>149626.51092724025</v>
      </c>
      <c r="M459" s="792">
        <f t="shared" si="36"/>
        <v>-6285.9121293189237</v>
      </c>
      <c r="N459" s="812">
        <v>149626.51092724025</v>
      </c>
      <c r="O459" s="792">
        <f t="shared" si="37"/>
        <v>-6285.9121293189237</v>
      </c>
      <c r="P459" s="792">
        <f t="shared" si="38"/>
        <v>0</v>
      </c>
    </row>
    <row r="460" spans="3:16">
      <c r="C460" s="788">
        <f>IF(D443="","-",+C459+1)</f>
        <v>2024</v>
      </c>
      <c r="D460" s="736">
        <f t="shared" si="39"/>
        <v>763742.82352381013</v>
      </c>
      <c r="E460" s="789">
        <f t="shared" si="41"/>
        <v>30754.744571428571</v>
      </c>
      <c r="F460" s="789">
        <f t="shared" si="35"/>
        <v>732988.07895238162</v>
      </c>
      <c r="G460" s="736">
        <f t="shared" si="40"/>
        <v>748365.45123809588</v>
      </c>
      <c r="H460" s="794">
        <f>+J444*G460+E460</f>
        <v>138896.42034161242</v>
      </c>
      <c r="I460" s="795">
        <f>+J445*G460+E460</f>
        <v>138896.42034161242</v>
      </c>
      <c r="J460" s="792">
        <f t="shared" si="42"/>
        <v>0</v>
      </c>
      <c r="K460" s="792"/>
      <c r="L460" s="812"/>
      <c r="M460" s="792">
        <f t="shared" si="36"/>
        <v>0</v>
      </c>
      <c r="N460" s="812"/>
      <c r="O460" s="792">
        <f t="shared" si="37"/>
        <v>0</v>
      </c>
      <c r="P460" s="792">
        <f t="shared" si="38"/>
        <v>0</v>
      </c>
    </row>
    <row r="461" spans="3:16">
      <c r="C461" s="788">
        <f>IF(D443="","-",+C460+1)</f>
        <v>2025</v>
      </c>
      <c r="D461" s="736">
        <f t="shared" si="39"/>
        <v>732988.07895238162</v>
      </c>
      <c r="E461" s="789">
        <f t="shared" si="41"/>
        <v>30754.744571428571</v>
      </c>
      <c r="F461" s="789">
        <f t="shared" si="35"/>
        <v>702233.33438095311</v>
      </c>
      <c r="G461" s="736">
        <f t="shared" si="40"/>
        <v>717610.70666666736</v>
      </c>
      <c r="H461" s="794">
        <f>+J444*G461+E461</f>
        <v>134452.24188530352</v>
      </c>
      <c r="I461" s="795">
        <f>+J445*G461+E461</f>
        <v>134452.24188530352</v>
      </c>
      <c r="J461" s="792">
        <f t="shared" si="42"/>
        <v>0</v>
      </c>
      <c r="K461" s="792"/>
      <c r="L461" s="812"/>
      <c r="M461" s="792">
        <f t="shared" si="36"/>
        <v>0</v>
      </c>
      <c r="N461" s="812"/>
      <c r="O461" s="792">
        <f t="shared" si="37"/>
        <v>0</v>
      </c>
      <c r="P461" s="792">
        <f t="shared" si="38"/>
        <v>0</v>
      </c>
    </row>
    <row r="462" spans="3:16">
      <c r="C462" s="788">
        <f>IF(D443="","-",+C461+1)</f>
        <v>2026</v>
      </c>
      <c r="D462" s="736">
        <f t="shared" si="39"/>
        <v>702233.33438095311</v>
      </c>
      <c r="E462" s="789">
        <f t="shared" si="41"/>
        <v>30754.744571428571</v>
      </c>
      <c r="F462" s="789">
        <f t="shared" si="35"/>
        <v>671478.58980952459</v>
      </c>
      <c r="G462" s="736">
        <f t="shared" si="40"/>
        <v>686855.96209523885</v>
      </c>
      <c r="H462" s="794">
        <f>+J444*G462+E462</f>
        <v>130008.0634289946</v>
      </c>
      <c r="I462" s="795">
        <f>+J445*G462+E462</f>
        <v>130008.0634289946</v>
      </c>
      <c r="J462" s="792">
        <f t="shared" si="42"/>
        <v>0</v>
      </c>
      <c r="K462" s="792"/>
      <c r="L462" s="812"/>
      <c r="M462" s="792">
        <f t="shared" si="36"/>
        <v>0</v>
      </c>
      <c r="N462" s="812"/>
      <c r="O462" s="792">
        <f t="shared" si="37"/>
        <v>0</v>
      </c>
      <c r="P462" s="792">
        <f t="shared" si="38"/>
        <v>0</v>
      </c>
    </row>
    <row r="463" spans="3:16">
      <c r="C463" s="788">
        <f>IF(D443="","-",+C462+1)</f>
        <v>2027</v>
      </c>
      <c r="D463" s="736">
        <f t="shared" si="39"/>
        <v>671478.58980952459</v>
      </c>
      <c r="E463" s="789">
        <f t="shared" si="41"/>
        <v>30754.744571428571</v>
      </c>
      <c r="F463" s="789">
        <f t="shared" si="35"/>
        <v>640723.84523809608</v>
      </c>
      <c r="G463" s="736">
        <f t="shared" si="40"/>
        <v>656101.21752381034</v>
      </c>
      <c r="H463" s="794">
        <f>+J444*G463+E463</f>
        <v>125563.88497268569</v>
      </c>
      <c r="I463" s="795">
        <f>+J445*G463+E463</f>
        <v>125563.88497268569</v>
      </c>
      <c r="J463" s="792">
        <f t="shared" si="42"/>
        <v>0</v>
      </c>
      <c r="K463" s="792"/>
      <c r="L463" s="812"/>
      <c r="M463" s="792">
        <f t="shared" si="36"/>
        <v>0</v>
      </c>
      <c r="N463" s="812"/>
      <c r="O463" s="792">
        <f t="shared" si="37"/>
        <v>0</v>
      </c>
      <c r="P463" s="792">
        <f t="shared" si="38"/>
        <v>0</v>
      </c>
    </row>
    <row r="464" spans="3:16">
      <c r="C464" s="788">
        <f>IF(D443="","-",+C463+1)</f>
        <v>2028</v>
      </c>
      <c r="D464" s="736">
        <f t="shared" si="39"/>
        <v>640723.84523809608</v>
      </c>
      <c r="E464" s="789">
        <f t="shared" si="41"/>
        <v>30754.744571428571</v>
      </c>
      <c r="F464" s="789">
        <f t="shared" si="35"/>
        <v>609969.10066666757</v>
      </c>
      <c r="G464" s="736">
        <f t="shared" si="40"/>
        <v>625346.47295238182</v>
      </c>
      <c r="H464" s="794">
        <f>+J444*G464+E464</f>
        <v>121119.70651637677</v>
      </c>
      <c r="I464" s="795">
        <f>+J445*G464+E464</f>
        <v>121119.70651637677</v>
      </c>
      <c r="J464" s="792">
        <f t="shared" si="42"/>
        <v>0</v>
      </c>
      <c r="K464" s="792"/>
      <c r="L464" s="812"/>
      <c r="M464" s="792">
        <f t="shared" si="36"/>
        <v>0</v>
      </c>
      <c r="N464" s="812"/>
      <c r="O464" s="792">
        <f t="shared" si="37"/>
        <v>0</v>
      </c>
      <c r="P464" s="792">
        <f t="shared" si="38"/>
        <v>0</v>
      </c>
    </row>
    <row r="465" spans="3:16">
      <c r="C465" s="788">
        <f>IF(D443="","-",+C464+1)</f>
        <v>2029</v>
      </c>
      <c r="D465" s="736">
        <f t="shared" si="39"/>
        <v>609969.10066666757</v>
      </c>
      <c r="E465" s="789">
        <f t="shared" si="41"/>
        <v>30754.744571428571</v>
      </c>
      <c r="F465" s="789">
        <f t="shared" si="35"/>
        <v>579214.35609523905</v>
      </c>
      <c r="G465" s="736">
        <f t="shared" si="40"/>
        <v>594591.72838095331</v>
      </c>
      <c r="H465" s="794">
        <f>+J444*G465+E465</f>
        <v>116675.52806006787</v>
      </c>
      <c r="I465" s="795">
        <f>+J445*G465+E465</f>
        <v>116675.52806006787</v>
      </c>
      <c r="J465" s="792">
        <f t="shared" si="42"/>
        <v>0</v>
      </c>
      <c r="K465" s="792"/>
      <c r="L465" s="812"/>
      <c r="M465" s="792">
        <f t="shared" si="36"/>
        <v>0</v>
      </c>
      <c r="N465" s="812"/>
      <c r="O465" s="792">
        <f t="shared" si="37"/>
        <v>0</v>
      </c>
      <c r="P465" s="792">
        <f t="shared" si="38"/>
        <v>0</v>
      </c>
    </row>
    <row r="466" spans="3:16">
      <c r="C466" s="788">
        <f>IF(D443="","-",+C465+1)</f>
        <v>2030</v>
      </c>
      <c r="D466" s="736">
        <f t="shared" si="39"/>
        <v>579214.35609523905</v>
      </c>
      <c r="E466" s="789">
        <f t="shared" si="41"/>
        <v>30754.744571428571</v>
      </c>
      <c r="F466" s="789">
        <f t="shared" si="35"/>
        <v>548459.61152381054</v>
      </c>
      <c r="G466" s="736">
        <f t="shared" si="40"/>
        <v>563836.9838095248</v>
      </c>
      <c r="H466" s="794">
        <f>+J444*G466+E466</f>
        <v>112231.34960375895</v>
      </c>
      <c r="I466" s="795">
        <f>+J445*G466+E466</f>
        <v>112231.34960375895</v>
      </c>
      <c r="J466" s="792">
        <f t="shared" si="42"/>
        <v>0</v>
      </c>
      <c r="K466" s="792"/>
      <c r="L466" s="812"/>
      <c r="M466" s="792">
        <f t="shared" si="36"/>
        <v>0</v>
      </c>
      <c r="N466" s="812"/>
      <c r="O466" s="792">
        <f t="shared" si="37"/>
        <v>0</v>
      </c>
      <c r="P466" s="792">
        <f t="shared" si="38"/>
        <v>0</v>
      </c>
    </row>
    <row r="467" spans="3:16">
      <c r="C467" s="788">
        <f>IF(D443="","-",+C466+1)</f>
        <v>2031</v>
      </c>
      <c r="D467" s="736">
        <f t="shared" si="39"/>
        <v>548459.61152381054</v>
      </c>
      <c r="E467" s="789">
        <f t="shared" si="41"/>
        <v>30754.744571428571</v>
      </c>
      <c r="F467" s="789">
        <f t="shared" si="35"/>
        <v>517704.86695238197</v>
      </c>
      <c r="G467" s="736">
        <f t="shared" si="40"/>
        <v>533082.23923809628</v>
      </c>
      <c r="H467" s="794">
        <f>+J444*G467+E467</f>
        <v>107787.17114745003</v>
      </c>
      <c r="I467" s="795">
        <f>+J445*G467+E467</f>
        <v>107787.17114745003</v>
      </c>
      <c r="J467" s="792">
        <f t="shared" si="42"/>
        <v>0</v>
      </c>
      <c r="K467" s="792"/>
      <c r="L467" s="812"/>
      <c r="M467" s="792">
        <f t="shared" si="36"/>
        <v>0</v>
      </c>
      <c r="N467" s="812"/>
      <c r="O467" s="792">
        <f t="shared" si="37"/>
        <v>0</v>
      </c>
      <c r="P467" s="792">
        <f t="shared" si="38"/>
        <v>0</v>
      </c>
    </row>
    <row r="468" spans="3:16">
      <c r="C468" s="788">
        <f>IF(D443="","-",+C467+1)</f>
        <v>2032</v>
      </c>
      <c r="D468" s="736">
        <f t="shared" si="39"/>
        <v>517704.86695238197</v>
      </c>
      <c r="E468" s="789">
        <f t="shared" si="41"/>
        <v>30754.744571428571</v>
      </c>
      <c r="F468" s="789">
        <f t="shared" si="35"/>
        <v>486950.1223809534</v>
      </c>
      <c r="G468" s="736">
        <f t="shared" si="40"/>
        <v>502327.49466666766</v>
      </c>
      <c r="H468" s="794">
        <f>+J444*G468+E468</f>
        <v>103342.9926911411</v>
      </c>
      <c r="I468" s="795">
        <f>+J445*G468+E468</f>
        <v>103342.9926911411</v>
      </c>
      <c r="J468" s="792">
        <f t="shared" si="42"/>
        <v>0</v>
      </c>
      <c r="K468" s="792"/>
      <c r="L468" s="812"/>
      <c r="M468" s="792">
        <f t="shared" si="36"/>
        <v>0</v>
      </c>
      <c r="N468" s="812"/>
      <c r="O468" s="792">
        <f t="shared" si="37"/>
        <v>0</v>
      </c>
      <c r="P468" s="792">
        <f t="shared" si="38"/>
        <v>0</v>
      </c>
    </row>
    <row r="469" spans="3:16">
      <c r="C469" s="788">
        <f>IF(D443="","-",+C468+1)</f>
        <v>2033</v>
      </c>
      <c r="D469" s="736">
        <f t="shared" si="39"/>
        <v>486950.1223809534</v>
      </c>
      <c r="E469" s="789">
        <f t="shared" si="41"/>
        <v>30754.744571428571</v>
      </c>
      <c r="F469" s="789">
        <f t="shared" si="35"/>
        <v>456195.37780952483</v>
      </c>
      <c r="G469" s="736">
        <f t="shared" si="40"/>
        <v>471572.75009523914</v>
      </c>
      <c r="H469" s="794">
        <f>+J444*G469+E469</f>
        <v>98898.814234832185</v>
      </c>
      <c r="I469" s="795">
        <f>+J445*G469+E469</f>
        <v>98898.814234832185</v>
      </c>
      <c r="J469" s="792">
        <f t="shared" si="42"/>
        <v>0</v>
      </c>
      <c r="K469" s="792"/>
      <c r="L469" s="812"/>
      <c r="M469" s="792">
        <f t="shared" si="36"/>
        <v>0</v>
      </c>
      <c r="N469" s="812"/>
      <c r="O469" s="792">
        <f t="shared" si="37"/>
        <v>0</v>
      </c>
      <c r="P469" s="792">
        <f t="shared" si="38"/>
        <v>0</v>
      </c>
    </row>
    <row r="470" spans="3:16">
      <c r="C470" s="788">
        <f>IF(D443="","-",+C469+1)</f>
        <v>2034</v>
      </c>
      <c r="D470" s="736">
        <f t="shared" si="39"/>
        <v>456195.37780952483</v>
      </c>
      <c r="E470" s="789">
        <f t="shared" si="41"/>
        <v>30754.744571428571</v>
      </c>
      <c r="F470" s="789">
        <f t="shared" si="35"/>
        <v>425440.63323809626</v>
      </c>
      <c r="G470" s="736">
        <f t="shared" si="40"/>
        <v>440818.00552381051</v>
      </c>
      <c r="H470" s="794">
        <f>+J444*G470+E470</f>
        <v>94454.635778523254</v>
      </c>
      <c r="I470" s="795">
        <f>+J445*G470+E470</f>
        <v>94454.635778523254</v>
      </c>
      <c r="J470" s="792">
        <f t="shared" si="42"/>
        <v>0</v>
      </c>
      <c r="K470" s="792"/>
      <c r="L470" s="812"/>
      <c r="M470" s="792">
        <f t="shared" si="36"/>
        <v>0</v>
      </c>
      <c r="N470" s="812"/>
      <c r="O470" s="792">
        <f t="shared" si="37"/>
        <v>0</v>
      </c>
      <c r="P470" s="792">
        <f t="shared" si="38"/>
        <v>0</v>
      </c>
    </row>
    <row r="471" spans="3:16">
      <c r="C471" s="788">
        <f>IF(D443="","-",+C470+1)</f>
        <v>2035</v>
      </c>
      <c r="D471" s="736">
        <f t="shared" si="39"/>
        <v>425440.63323809626</v>
      </c>
      <c r="E471" s="789">
        <f t="shared" si="41"/>
        <v>30754.744571428571</v>
      </c>
      <c r="F471" s="789">
        <f t="shared" si="35"/>
        <v>394685.88866666768</v>
      </c>
      <c r="G471" s="736">
        <f t="shared" si="40"/>
        <v>410063.260952382</v>
      </c>
      <c r="H471" s="794">
        <f>+J444*G471+E471</f>
        <v>90010.457322214352</v>
      </c>
      <c r="I471" s="795">
        <f>+J445*G471+E471</f>
        <v>90010.457322214352</v>
      </c>
      <c r="J471" s="792">
        <f t="shared" si="42"/>
        <v>0</v>
      </c>
      <c r="K471" s="792"/>
      <c r="L471" s="812"/>
      <c r="M471" s="792">
        <f t="shared" si="36"/>
        <v>0</v>
      </c>
      <c r="N471" s="812"/>
      <c r="O471" s="792">
        <f t="shared" si="37"/>
        <v>0</v>
      </c>
      <c r="P471" s="792">
        <f t="shared" si="38"/>
        <v>0</v>
      </c>
    </row>
    <row r="472" spans="3:16">
      <c r="C472" s="788">
        <f>IF(D443="","-",+C471+1)</f>
        <v>2036</v>
      </c>
      <c r="D472" s="736">
        <f t="shared" si="39"/>
        <v>394685.88866666768</v>
      </c>
      <c r="E472" s="789">
        <f t="shared" si="41"/>
        <v>30754.744571428571</v>
      </c>
      <c r="F472" s="789">
        <f t="shared" si="35"/>
        <v>363931.14409523911</v>
      </c>
      <c r="G472" s="736">
        <f t="shared" si="40"/>
        <v>379308.51638095337</v>
      </c>
      <c r="H472" s="794">
        <f>+J444*G472+E472</f>
        <v>85566.27886590542</v>
      </c>
      <c r="I472" s="795">
        <f>+J445*G472+E472</f>
        <v>85566.27886590542</v>
      </c>
      <c r="J472" s="792">
        <f t="shared" si="42"/>
        <v>0</v>
      </c>
      <c r="K472" s="792"/>
      <c r="L472" s="812"/>
      <c r="M472" s="792">
        <f t="shared" si="36"/>
        <v>0</v>
      </c>
      <c r="N472" s="812"/>
      <c r="O472" s="792">
        <f t="shared" si="37"/>
        <v>0</v>
      </c>
      <c r="P472" s="792">
        <f t="shared" si="38"/>
        <v>0</v>
      </c>
    </row>
    <row r="473" spans="3:16">
      <c r="C473" s="788">
        <f>IF(D443="","-",+C472+1)</f>
        <v>2037</v>
      </c>
      <c r="D473" s="736">
        <f t="shared" si="39"/>
        <v>363931.14409523911</v>
      </c>
      <c r="E473" s="789">
        <f t="shared" si="41"/>
        <v>30754.744571428571</v>
      </c>
      <c r="F473" s="789">
        <f t="shared" si="35"/>
        <v>333176.39952381054</v>
      </c>
      <c r="G473" s="736">
        <f t="shared" si="40"/>
        <v>348553.77180952486</v>
      </c>
      <c r="H473" s="794">
        <f>+J444*G473+E473</f>
        <v>81122.100409596504</v>
      </c>
      <c r="I473" s="795">
        <f>+J445*G473+E473</f>
        <v>81122.100409596504</v>
      </c>
      <c r="J473" s="792">
        <f t="shared" si="42"/>
        <v>0</v>
      </c>
      <c r="K473" s="792"/>
      <c r="L473" s="812"/>
      <c r="M473" s="792">
        <f t="shared" si="36"/>
        <v>0</v>
      </c>
      <c r="N473" s="812"/>
      <c r="O473" s="792">
        <f t="shared" si="37"/>
        <v>0</v>
      </c>
      <c r="P473" s="792">
        <f t="shared" si="38"/>
        <v>0</v>
      </c>
    </row>
    <row r="474" spans="3:16">
      <c r="C474" s="788">
        <f>IF(D443="","-",+C473+1)</f>
        <v>2038</v>
      </c>
      <c r="D474" s="736">
        <f t="shared" si="39"/>
        <v>333176.39952381054</v>
      </c>
      <c r="E474" s="789">
        <f t="shared" si="41"/>
        <v>30754.744571428571</v>
      </c>
      <c r="F474" s="789">
        <f t="shared" si="35"/>
        <v>302421.65495238197</v>
      </c>
      <c r="G474" s="736">
        <f t="shared" si="40"/>
        <v>317799.02723809623</v>
      </c>
      <c r="H474" s="794">
        <f>+J444*G474+E474</f>
        <v>76677.921953287572</v>
      </c>
      <c r="I474" s="795">
        <f>+J445*G474+E474</f>
        <v>76677.921953287572</v>
      </c>
      <c r="J474" s="792">
        <f t="shared" si="42"/>
        <v>0</v>
      </c>
      <c r="K474" s="792"/>
      <c r="L474" s="812"/>
      <c r="M474" s="792">
        <f t="shared" si="36"/>
        <v>0</v>
      </c>
      <c r="N474" s="812"/>
      <c r="O474" s="792">
        <f t="shared" si="37"/>
        <v>0</v>
      </c>
      <c r="P474" s="792">
        <f t="shared" si="38"/>
        <v>0</v>
      </c>
    </row>
    <row r="475" spans="3:16">
      <c r="C475" s="788">
        <f>IF(D443="","-",+C474+1)</f>
        <v>2039</v>
      </c>
      <c r="D475" s="736">
        <f t="shared" si="39"/>
        <v>302421.65495238197</v>
      </c>
      <c r="E475" s="789">
        <f t="shared" si="41"/>
        <v>30754.744571428571</v>
      </c>
      <c r="F475" s="789">
        <f t="shared" si="35"/>
        <v>271666.9103809534</v>
      </c>
      <c r="G475" s="736">
        <f t="shared" si="40"/>
        <v>287044.28266666771</v>
      </c>
      <c r="H475" s="794">
        <f>+J444*G475+E475</f>
        <v>72233.743496978655</v>
      </c>
      <c r="I475" s="795">
        <f>+J445*G475+E475</f>
        <v>72233.743496978655</v>
      </c>
      <c r="J475" s="792">
        <f t="shared" si="42"/>
        <v>0</v>
      </c>
      <c r="K475" s="792"/>
      <c r="L475" s="812"/>
      <c r="M475" s="792">
        <f t="shared" si="36"/>
        <v>0</v>
      </c>
      <c r="N475" s="812"/>
      <c r="O475" s="792">
        <f t="shared" si="37"/>
        <v>0</v>
      </c>
      <c r="P475" s="792">
        <f t="shared" si="38"/>
        <v>0</v>
      </c>
    </row>
    <row r="476" spans="3:16">
      <c r="C476" s="788">
        <f>IF(D443="","-",+C475+1)</f>
        <v>2040</v>
      </c>
      <c r="D476" s="736">
        <f t="shared" si="39"/>
        <v>271666.9103809534</v>
      </c>
      <c r="E476" s="789">
        <f t="shared" si="41"/>
        <v>30754.744571428571</v>
      </c>
      <c r="F476" s="789">
        <f t="shared" si="35"/>
        <v>240912.16580952483</v>
      </c>
      <c r="G476" s="736">
        <f t="shared" si="40"/>
        <v>256289.53809523911</v>
      </c>
      <c r="H476" s="794">
        <f>+J444*G476+E476</f>
        <v>67789.565040669724</v>
      </c>
      <c r="I476" s="795">
        <f>+J445*G476+E476</f>
        <v>67789.565040669724</v>
      </c>
      <c r="J476" s="792">
        <f t="shared" si="42"/>
        <v>0</v>
      </c>
      <c r="K476" s="792"/>
      <c r="L476" s="812"/>
      <c r="M476" s="792">
        <f t="shared" si="36"/>
        <v>0</v>
      </c>
      <c r="N476" s="812"/>
      <c r="O476" s="792">
        <f t="shared" si="37"/>
        <v>0</v>
      </c>
      <c r="P476" s="792">
        <f t="shared" si="38"/>
        <v>0</v>
      </c>
    </row>
    <row r="477" spans="3:16">
      <c r="C477" s="788">
        <f>IF(D443="","-",+C476+1)</f>
        <v>2041</v>
      </c>
      <c r="D477" s="736">
        <f t="shared" si="39"/>
        <v>240912.16580952483</v>
      </c>
      <c r="E477" s="789">
        <f t="shared" si="41"/>
        <v>30754.744571428571</v>
      </c>
      <c r="F477" s="789">
        <f t="shared" si="35"/>
        <v>210157.42123809626</v>
      </c>
      <c r="G477" s="736">
        <f t="shared" si="40"/>
        <v>225534.79352381054</v>
      </c>
      <c r="H477" s="794">
        <f>+J444*G477+E477</f>
        <v>63345.386584360807</v>
      </c>
      <c r="I477" s="795">
        <f>+J445*G477+E477</f>
        <v>63345.386584360807</v>
      </c>
      <c r="J477" s="792">
        <f t="shared" si="42"/>
        <v>0</v>
      </c>
      <c r="K477" s="792"/>
      <c r="L477" s="812"/>
      <c r="M477" s="792">
        <f t="shared" si="36"/>
        <v>0</v>
      </c>
      <c r="N477" s="812"/>
      <c r="O477" s="792">
        <f t="shared" si="37"/>
        <v>0</v>
      </c>
      <c r="P477" s="792">
        <f t="shared" si="38"/>
        <v>0</v>
      </c>
    </row>
    <row r="478" spans="3:16">
      <c r="C478" s="788">
        <f>IF(D443="","-",+C477+1)</f>
        <v>2042</v>
      </c>
      <c r="D478" s="736">
        <f t="shared" si="39"/>
        <v>210157.42123809626</v>
      </c>
      <c r="E478" s="789">
        <f t="shared" si="41"/>
        <v>30754.744571428571</v>
      </c>
      <c r="F478" s="789">
        <f t="shared" si="35"/>
        <v>179402.67666666768</v>
      </c>
      <c r="G478" s="736">
        <f t="shared" si="40"/>
        <v>194780.04895238197</v>
      </c>
      <c r="H478" s="794">
        <f>+J444*G478+E478</f>
        <v>58901.208128051891</v>
      </c>
      <c r="I478" s="795">
        <f>+J445*G478+E478</f>
        <v>58901.208128051891</v>
      </c>
      <c r="J478" s="792">
        <f t="shared" si="42"/>
        <v>0</v>
      </c>
      <c r="K478" s="792"/>
      <c r="L478" s="812"/>
      <c r="M478" s="792">
        <f t="shared" si="36"/>
        <v>0</v>
      </c>
      <c r="N478" s="812"/>
      <c r="O478" s="792">
        <f t="shared" si="37"/>
        <v>0</v>
      </c>
      <c r="P478" s="792">
        <f t="shared" si="38"/>
        <v>0</v>
      </c>
    </row>
    <row r="479" spans="3:16">
      <c r="C479" s="788">
        <f>IF(D443="","-",+C478+1)</f>
        <v>2043</v>
      </c>
      <c r="D479" s="736">
        <f t="shared" si="39"/>
        <v>179402.67666666768</v>
      </c>
      <c r="E479" s="789">
        <f t="shared" si="41"/>
        <v>30754.744571428571</v>
      </c>
      <c r="F479" s="789">
        <f t="shared" si="35"/>
        <v>148647.93209523911</v>
      </c>
      <c r="G479" s="736">
        <f t="shared" si="40"/>
        <v>164025.3043809534</v>
      </c>
      <c r="H479" s="794">
        <f>+J444*G479+E479</f>
        <v>54457.029671742966</v>
      </c>
      <c r="I479" s="795">
        <f>+J445*G479+E479</f>
        <v>54457.029671742966</v>
      </c>
      <c r="J479" s="792">
        <f t="shared" si="42"/>
        <v>0</v>
      </c>
      <c r="K479" s="792"/>
      <c r="L479" s="812"/>
      <c r="M479" s="792">
        <f t="shared" si="36"/>
        <v>0</v>
      </c>
      <c r="N479" s="812"/>
      <c r="O479" s="792">
        <f t="shared" si="37"/>
        <v>0</v>
      </c>
      <c r="P479" s="792">
        <f t="shared" si="38"/>
        <v>0</v>
      </c>
    </row>
    <row r="480" spans="3:16">
      <c r="C480" s="788">
        <f>IF(D443="","-",+C479+1)</f>
        <v>2044</v>
      </c>
      <c r="D480" s="736">
        <f t="shared" si="39"/>
        <v>148647.93209523911</v>
      </c>
      <c r="E480" s="789">
        <f t="shared" si="41"/>
        <v>30754.744571428571</v>
      </c>
      <c r="F480" s="789">
        <f t="shared" si="35"/>
        <v>117893.18752381054</v>
      </c>
      <c r="G480" s="736">
        <f t="shared" si="40"/>
        <v>133270.55980952483</v>
      </c>
      <c r="H480" s="794">
        <f>+J444*G480+E480</f>
        <v>50012.851215434042</v>
      </c>
      <c r="I480" s="795">
        <f>+J445*G480+E480</f>
        <v>50012.851215434042</v>
      </c>
      <c r="J480" s="792">
        <f t="shared" si="42"/>
        <v>0</v>
      </c>
      <c r="K480" s="792"/>
      <c r="L480" s="812"/>
      <c r="M480" s="792">
        <f t="shared" si="36"/>
        <v>0</v>
      </c>
      <c r="N480" s="812"/>
      <c r="O480" s="792">
        <f t="shared" si="37"/>
        <v>0</v>
      </c>
      <c r="P480" s="792">
        <f t="shared" si="38"/>
        <v>0</v>
      </c>
    </row>
    <row r="481" spans="3:16">
      <c r="C481" s="788">
        <f>IF(D443="","-",+C480+1)</f>
        <v>2045</v>
      </c>
      <c r="D481" s="736">
        <f t="shared" si="39"/>
        <v>117893.18752381054</v>
      </c>
      <c r="E481" s="789">
        <f t="shared" si="41"/>
        <v>30754.744571428571</v>
      </c>
      <c r="F481" s="789">
        <f t="shared" si="35"/>
        <v>87138.442952381971</v>
      </c>
      <c r="G481" s="736">
        <f t="shared" si="40"/>
        <v>102515.81523809626</v>
      </c>
      <c r="H481" s="794">
        <f>+J444*G481+E481</f>
        <v>45568.672759125126</v>
      </c>
      <c r="I481" s="795">
        <f>+J445*G481+E481</f>
        <v>45568.672759125126</v>
      </c>
      <c r="J481" s="792">
        <f t="shared" si="42"/>
        <v>0</v>
      </c>
      <c r="K481" s="792"/>
      <c r="L481" s="812"/>
      <c r="M481" s="792">
        <f t="shared" si="36"/>
        <v>0</v>
      </c>
      <c r="N481" s="812"/>
      <c r="O481" s="792">
        <f t="shared" si="37"/>
        <v>0</v>
      </c>
      <c r="P481" s="792">
        <f t="shared" si="38"/>
        <v>0</v>
      </c>
    </row>
    <row r="482" spans="3:16">
      <c r="C482" s="788">
        <f>IF(D443="","-",+C481+1)</f>
        <v>2046</v>
      </c>
      <c r="D482" s="736">
        <f t="shared" si="39"/>
        <v>87138.442952381971</v>
      </c>
      <c r="E482" s="789">
        <f t="shared" si="41"/>
        <v>30754.744571428571</v>
      </c>
      <c r="F482" s="789">
        <f t="shared" si="35"/>
        <v>56383.698380953399</v>
      </c>
      <c r="G482" s="736">
        <f t="shared" si="40"/>
        <v>71761.070666667685</v>
      </c>
      <c r="H482" s="794">
        <f>+J444*G482+E482</f>
        <v>41124.494302816202</v>
      </c>
      <c r="I482" s="795">
        <f>+J445*G482+E482</f>
        <v>41124.494302816202</v>
      </c>
      <c r="J482" s="792">
        <f t="shared" si="42"/>
        <v>0</v>
      </c>
      <c r="K482" s="792"/>
      <c r="L482" s="812"/>
      <c r="M482" s="792">
        <f t="shared" si="36"/>
        <v>0</v>
      </c>
      <c r="N482" s="812"/>
      <c r="O482" s="792">
        <f t="shared" si="37"/>
        <v>0</v>
      </c>
      <c r="P482" s="792">
        <f t="shared" si="38"/>
        <v>0</v>
      </c>
    </row>
    <row r="483" spans="3:16">
      <c r="C483" s="788">
        <f>IF(D443="","-",+C482+1)</f>
        <v>2047</v>
      </c>
      <c r="D483" s="736">
        <f t="shared" si="39"/>
        <v>56383.698380953399</v>
      </c>
      <c r="E483" s="789">
        <f t="shared" si="41"/>
        <v>30754.744571428571</v>
      </c>
      <c r="F483" s="789">
        <f t="shared" si="35"/>
        <v>25628.953809524828</v>
      </c>
      <c r="G483" s="736">
        <f t="shared" si="40"/>
        <v>41006.326095239114</v>
      </c>
      <c r="H483" s="794">
        <f>+J444*G483+E483</f>
        <v>36680.315846507277</v>
      </c>
      <c r="I483" s="795">
        <f>+J445*G483+E483</f>
        <v>36680.315846507277</v>
      </c>
      <c r="J483" s="792">
        <f t="shared" si="42"/>
        <v>0</v>
      </c>
      <c r="K483" s="792"/>
      <c r="L483" s="812"/>
      <c r="M483" s="792">
        <f t="shared" si="36"/>
        <v>0</v>
      </c>
      <c r="N483" s="812"/>
      <c r="O483" s="792">
        <f t="shared" si="37"/>
        <v>0</v>
      </c>
      <c r="P483" s="792">
        <f t="shared" si="38"/>
        <v>0</v>
      </c>
    </row>
    <row r="484" spans="3:16">
      <c r="C484" s="788">
        <f>IF(D443="","-",+C483+1)</f>
        <v>2048</v>
      </c>
      <c r="D484" s="736">
        <f t="shared" si="39"/>
        <v>25628.953809524828</v>
      </c>
      <c r="E484" s="789">
        <f t="shared" si="41"/>
        <v>25628.953809524828</v>
      </c>
      <c r="F484" s="789">
        <f t="shared" si="35"/>
        <v>0</v>
      </c>
      <c r="G484" s="736">
        <f t="shared" si="40"/>
        <v>12814.476904762414</v>
      </c>
      <c r="H484" s="794">
        <f>+J444*G484+E484</f>
        <v>27480.694832986952</v>
      </c>
      <c r="I484" s="795">
        <f>+J445*G484+E484</f>
        <v>27480.694832986952</v>
      </c>
      <c r="J484" s="792">
        <f t="shared" si="42"/>
        <v>0</v>
      </c>
      <c r="K484" s="792"/>
      <c r="L484" s="812"/>
      <c r="M484" s="792">
        <f t="shared" si="36"/>
        <v>0</v>
      </c>
      <c r="N484" s="812"/>
      <c r="O484" s="792">
        <f t="shared" si="37"/>
        <v>0</v>
      </c>
      <c r="P484" s="792">
        <f t="shared" si="38"/>
        <v>0</v>
      </c>
    </row>
    <row r="485" spans="3:16">
      <c r="C485" s="788">
        <f>IF(D443="","-",+C484+1)</f>
        <v>2049</v>
      </c>
      <c r="D485" s="736">
        <f t="shared" si="39"/>
        <v>0</v>
      </c>
      <c r="E485" s="789">
        <f t="shared" si="41"/>
        <v>0</v>
      </c>
      <c r="F485" s="789">
        <f t="shared" si="35"/>
        <v>0</v>
      </c>
      <c r="G485" s="736">
        <f t="shared" si="40"/>
        <v>0</v>
      </c>
      <c r="H485" s="794">
        <f>+J444*G485+E485</f>
        <v>0</v>
      </c>
      <c r="I485" s="795">
        <f>+J445*G485+E485</f>
        <v>0</v>
      </c>
      <c r="J485" s="792">
        <f t="shared" si="42"/>
        <v>0</v>
      </c>
      <c r="K485" s="792"/>
      <c r="L485" s="812"/>
      <c r="M485" s="792">
        <f t="shared" si="36"/>
        <v>0</v>
      </c>
      <c r="N485" s="812"/>
      <c r="O485" s="792">
        <f t="shared" si="37"/>
        <v>0</v>
      </c>
      <c r="P485" s="792">
        <f t="shared" si="38"/>
        <v>0</v>
      </c>
    </row>
    <row r="486" spans="3:16">
      <c r="C486" s="788">
        <f>IF(D443="","-",+C485+1)</f>
        <v>2050</v>
      </c>
      <c r="D486" s="736">
        <f t="shared" si="39"/>
        <v>0</v>
      </c>
      <c r="E486" s="789">
        <f t="shared" si="41"/>
        <v>0</v>
      </c>
      <c r="F486" s="789">
        <f t="shared" si="35"/>
        <v>0</v>
      </c>
      <c r="G486" s="736">
        <f t="shared" si="40"/>
        <v>0</v>
      </c>
      <c r="H486" s="794">
        <f>+J444*G486+E486</f>
        <v>0</v>
      </c>
      <c r="I486" s="795">
        <f>+J445*G486+E486</f>
        <v>0</v>
      </c>
      <c r="J486" s="792">
        <f t="shared" si="42"/>
        <v>0</v>
      </c>
      <c r="K486" s="792"/>
      <c r="L486" s="812"/>
      <c r="M486" s="792">
        <f t="shared" si="36"/>
        <v>0</v>
      </c>
      <c r="N486" s="812"/>
      <c r="O486" s="792">
        <f t="shared" si="37"/>
        <v>0</v>
      </c>
      <c r="P486" s="792">
        <f t="shared" si="38"/>
        <v>0</v>
      </c>
    </row>
    <row r="487" spans="3:16">
      <c r="C487" s="788">
        <f>IF(D443="","-",+C486+1)</f>
        <v>2051</v>
      </c>
      <c r="D487" s="736">
        <f t="shared" si="39"/>
        <v>0</v>
      </c>
      <c r="E487" s="789">
        <f t="shared" si="41"/>
        <v>0</v>
      </c>
      <c r="F487" s="789">
        <f t="shared" si="35"/>
        <v>0</v>
      </c>
      <c r="G487" s="736">
        <f t="shared" si="40"/>
        <v>0</v>
      </c>
      <c r="H487" s="794">
        <f>+J444*G487+E487</f>
        <v>0</v>
      </c>
      <c r="I487" s="795">
        <f>+J445*G487+E487</f>
        <v>0</v>
      </c>
      <c r="J487" s="792">
        <f t="shared" si="42"/>
        <v>0</v>
      </c>
      <c r="K487" s="792"/>
      <c r="L487" s="812"/>
      <c r="M487" s="792">
        <f t="shared" si="36"/>
        <v>0</v>
      </c>
      <c r="N487" s="812"/>
      <c r="O487" s="792">
        <f t="shared" si="37"/>
        <v>0</v>
      </c>
      <c r="P487" s="792">
        <f t="shared" si="38"/>
        <v>0</v>
      </c>
    </row>
    <row r="488" spans="3:16">
      <c r="C488" s="788">
        <f>IF(D443="","-",+C487+1)</f>
        <v>2052</v>
      </c>
      <c r="D488" s="736">
        <f t="shared" si="39"/>
        <v>0</v>
      </c>
      <c r="E488" s="789">
        <f t="shared" si="41"/>
        <v>0</v>
      </c>
      <c r="F488" s="789">
        <f t="shared" si="35"/>
        <v>0</v>
      </c>
      <c r="G488" s="736">
        <f t="shared" si="40"/>
        <v>0</v>
      </c>
      <c r="H488" s="794">
        <f>+J444*G488+E488</f>
        <v>0</v>
      </c>
      <c r="I488" s="795">
        <f>+J445*G488+E488</f>
        <v>0</v>
      </c>
      <c r="J488" s="792">
        <f t="shared" si="42"/>
        <v>0</v>
      </c>
      <c r="K488" s="792"/>
      <c r="L488" s="812"/>
      <c r="M488" s="792">
        <f t="shared" si="36"/>
        <v>0</v>
      </c>
      <c r="N488" s="812"/>
      <c r="O488" s="792">
        <f t="shared" si="37"/>
        <v>0</v>
      </c>
      <c r="P488" s="792">
        <f t="shared" si="38"/>
        <v>0</v>
      </c>
    </row>
    <row r="489" spans="3:16">
      <c r="C489" s="788">
        <f>IF(D443="","-",+C488+1)</f>
        <v>2053</v>
      </c>
      <c r="D489" s="736">
        <f t="shared" si="39"/>
        <v>0</v>
      </c>
      <c r="E489" s="789">
        <f t="shared" si="41"/>
        <v>0</v>
      </c>
      <c r="F489" s="789">
        <f t="shared" si="35"/>
        <v>0</v>
      </c>
      <c r="G489" s="736">
        <f t="shared" si="40"/>
        <v>0</v>
      </c>
      <c r="H489" s="794">
        <f>+J444*G489+E489</f>
        <v>0</v>
      </c>
      <c r="I489" s="795">
        <f>+J445*G489+E489</f>
        <v>0</v>
      </c>
      <c r="J489" s="792">
        <f t="shared" si="42"/>
        <v>0</v>
      </c>
      <c r="K489" s="792"/>
      <c r="L489" s="812"/>
      <c r="M489" s="792">
        <f t="shared" si="36"/>
        <v>0</v>
      </c>
      <c r="N489" s="812"/>
      <c r="O489" s="792">
        <f t="shared" si="37"/>
        <v>0</v>
      </c>
      <c r="P489" s="792">
        <f t="shared" si="38"/>
        <v>0</v>
      </c>
    </row>
    <row r="490" spans="3:16">
      <c r="C490" s="788">
        <f>IF(D443="","-",+C489+1)</f>
        <v>2054</v>
      </c>
      <c r="D490" s="736">
        <f t="shared" si="39"/>
        <v>0</v>
      </c>
      <c r="E490" s="789">
        <f t="shared" si="41"/>
        <v>0</v>
      </c>
      <c r="F490" s="789">
        <f t="shared" si="35"/>
        <v>0</v>
      </c>
      <c r="G490" s="736">
        <f t="shared" si="40"/>
        <v>0</v>
      </c>
      <c r="H490" s="794">
        <f>+J444*G490+E490</f>
        <v>0</v>
      </c>
      <c r="I490" s="795">
        <f>+J445*G490+E490</f>
        <v>0</v>
      </c>
      <c r="J490" s="792">
        <f t="shared" si="42"/>
        <v>0</v>
      </c>
      <c r="K490" s="792"/>
      <c r="L490" s="812"/>
      <c r="M490" s="792">
        <f t="shared" si="36"/>
        <v>0</v>
      </c>
      <c r="N490" s="812"/>
      <c r="O490" s="792">
        <f t="shared" si="37"/>
        <v>0</v>
      </c>
      <c r="P490" s="792">
        <f t="shared" si="38"/>
        <v>0</v>
      </c>
    </row>
    <row r="491" spans="3:16">
      <c r="C491" s="788">
        <f>IF(D443="","-",+C490+1)</f>
        <v>2055</v>
      </c>
      <c r="D491" s="736">
        <f t="shared" si="39"/>
        <v>0</v>
      </c>
      <c r="E491" s="789">
        <f t="shared" si="41"/>
        <v>0</v>
      </c>
      <c r="F491" s="789">
        <f t="shared" si="35"/>
        <v>0</v>
      </c>
      <c r="G491" s="736">
        <f t="shared" si="40"/>
        <v>0</v>
      </c>
      <c r="H491" s="794">
        <f>+J444*G491+E491</f>
        <v>0</v>
      </c>
      <c r="I491" s="795">
        <f>+J445*G491+E491</f>
        <v>0</v>
      </c>
      <c r="J491" s="792">
        <f t="shared" si="42"/>
        <v>0</v>
      </c>
      <c r="K491" s="792"/>
      <c r="L491" s="812"/>
      <c r="M491" s="792">
        <f t="shared" si="36"/>
        <v>0</v>
      </c>
      <c r="N491" s="812"/>
      <c r="O491" s="792">
        <f t="shared" si="37"/>
        <v>0</v>
      </c>
      <c r="P491" s="792">
        <f t="shared" si="38"/>
        <v>0</v>
      </c>
    </row>
    <row r="492" spans="3:16">
      <c r="C492" s="788">
        <f>IF(D443="","-",+C491+1)</f>
        <v>2056</v>
      </c>
      <c r="D492" s="736">
        <f t="shared" si="39"/>
        <v>0</v>
      </c>
      <c r="E492" s="789">
        <f t="shared" si="41"/>
        <v>0</v>
      </c>
      <c r="F492" s="789">
        <f t="shared" si="35"/>
        <v>0</v>
      </c>
      <c r="G492" s="736">
        <f t="shared" si="40"/>
        <v>0</v>
      </c>
      <c r="H492" s="794">
        <f>+J444*G492+E492</f>
        <v>0</v>
      </c>
      <c r="I492" s="795">
        <f>+J445*G492+E492</f>
        <v>0</v>
      </c>
      <c r="J492" s="792">
        <f t="shared" si="42"/>
        <v>0</v>
      </c>
      <c r="K492" s="792"/>
      <c r="L492" s="812"/>
      <c r="M492" s="792">
        <f t="shared" si="36"/>
        <v>0</v>
      </c>
      <c r="N492" s="812"/>
      <c r="O492" s="792">
        <f t="shared" si="37"/>
        <v>0</v>
      </c>
      <c r="P492" s="792">
        <f t="shared" si="38"/>
        <v>0</v>
      </c>
    </row>
    <row r="493" spans="3:16">
      <c r="C493" s="788">
        <f>IF(D443="","-",+C492+1)</f>
        <v>2057</v>
      </c>
      <c r="D493" s="736">
        <f t="shared" si="39"/>
        <v>0</v>
      </c>
      <c r="E493" s="789">
        <f t="shared" si="41"/>
        <v>0</v>
      </c>
      <c r="F493" s="789">
        <f t="shared" si="35"/>
        <v>0</v>
      </c>
      <c r="G493" s="736">
        <f t="shared" si="40"/>
        <v>0</v>
      </c>
      <c r="H493" s="794">
        <f>+J444*G493+E493</f>
        <v>0</v>
      </c>
      <c r="I493" s="795">
        <f>+J445*G493+E493</f>
        <v>0</v>
      </c>
      <c r="J493" s="792">
        <f t="shared" si="42"/>
        <v>0</v>
      </c>
      <c r="K493" s="792"/>
      <c r="L493" s="812"/>
      <c r="M493" s="792">
        <f t="shared" si="36"/>
        <v>0</v>
      </c>
      <c r="N493" s="812"/>
      <c r="O493" s="792">
        <f t="shared" si="37"/>
        <v>0</v>
      </c>
      <c r="P493" s="792">
        <f t="shared" si="38"/>
        <v>0</v>
      </c>
    </row>
    <row r="494" spans="3:16">
      <c r="C494" s="788">
        <f>IF(D443="","-",+C493+1)</f>
        <v>2058</v>
      </c>
      <c r="D494" s="736">
        <f t="shared" si="39"/>
        <v>0</v>
      </c>
      <c r="E494" s="789">
        <f t="shared" si="41"/>
        <v>0</v>
      </c>
      <c r="F494" s="789">
        <f t="shared" si="35"/>
        <v>0</v>
      </c>
      <c r="G494" s="736">
        <f t="shared" si="40"/>
        <v>0</v>
      </c>
      <c r="H494" s="794">
        <f>+J444*G494+E494</f>
        <v>0</v>
      </c>
      <c r="I494" s="795">
        <f>+J445*G494+E494</f>
        <v>0</v>
      </c>
      <c r="J494" s="792">
        <f t="shared" si="42"/>
        <v>0</v>
      </c>
      <c r="K494" s="792"/>
      <c r="L494" s="812"/>
      <c r="M494" s="792">
        <f t="shared" si="36"/>
        <v>0</v>
      </c>
      <c r="N494" s="812"/>
      <c r="O494" s="792">
        <f t="shared" si="37"/>
        <v>0</v>
      </c>
      <c r="P494" s="792">
        <f t="shared" si="38"/>
        <v>0</v>
      </c>
    </row>
    <row r="495" spans="3:16">
      <c r="C495" s="788">
        <f>IF(D443="","-",+C494+1)</f>
        <v>2059</v>
      </c>
      <c r="D495" s="736">
        <f t="shared" si="39"/>
        <v>0</v>
      </c>
      <c r="E495" s="789">
        <f t="shared" si="41"/>
        <v>0</v>
      </c>
      <c r="F495" s="789">
        <f t="shared" si="35"/>
        <v>0</v>
      </c>
      <c r="G495" s="736">
        <f t="shared" si="40"/>
        <v>0</v>
      </c>
      <c r="H495" s="794">
        <f>+J444*G495+E495</f>
        <v>0</v>
      </c>
      <c r="I495" s="795">
        <f>+J445*G495+E495</f>
        <v>0</v>
      </c>
      <c r="J495" s="792">
        <f t="shared" si="42"/>
        <v>0</v>
      </c>
      <c r="K495" s="792"/>
      <c r="L495" s="812"/>
      <c r="M495" s="792">
        <f t="shared" si="36"/>
        <v>0</v>
      </c>
      <c r="N495" s="812"/>
      <c r="O495" s="792">
        <f t="shared" si="37"/>
        <v>0</v>
      </c>
      <c r="P495" s="792">
        <f t="shared" si="38"/>
        <v>0</v>
      </c>
    </row>
    <row r="496" spans="3:16">
      <c r="C496" s="788">
        <f>IF(D443="","-",+C495+1)</f>
        <v>2060</v>
      </c>
      <c r="D496" s="736">
        <f t="shared" si="39"/>
        <v>0</v>
      </c>
      <c r="E496" s="789">
        <f t="shared" si="41"/>
        <v>0</v>
      </c>
      <c r="F496" s="789">
        <f t="shared" si="35"/>
        <v>0</v>
      </c>
      <c r="G496" s="736">
        <f t="shared" si="40"/>
        <v>0</v>
      </c>
      <c r="H496" s="794">
        <f>+J444*G496+E496</f>
        <v>0</v>
      </c>
      <c r="I496" s="795">
        <f>+J445*G496+E496</f>
        <v>0</v>
      </c>
      <c r="J496" s="792">
        <f t="shared" si="42"/>
        <v>0</v>
      </c>
      <c r="K496" s="792"/>
      <c r="L496" s="812"/>
      <c r="M496" s="792">
        <f t="shared" si="36"/>
        <v>0</v>
      </c>
      <c r="N496" s="812"/>
      <c r="O496" s="792">
        <f t="shared" si="37"/>
        <v>0</v>
      </c>
      <c r="P496" s="792">
        <f t="shared" si="38"/>
        <v>0</v>
      </c>
    </row>
    <row r="497" spans="3:16">
      <c r="C497" s="788">
        <f>IF(D443="","-",+C496+1)</f>
        <v>2061</v>
      </c>
      <c r="D497" s="736">
        <f t="shared" si="39"/>
        <v>0</v>
      </c>
      <c r="E497" s="789">
        <f t="shared" si="41"/>
        <v>0</v>
      </c>
      <c r="F497" s="789">
        <f t="shared" si="35"/>
        <v>0</v>
      </c>
      <c r="G497" s="736">
        <f t="shared" si="40"/>
        <v>0</v>
      </c>
      <c r="H497" s="794">
        <f>+J444*G497+E497</f>
        <v>0</v>
      </c>
      <c r="I497" s="795">
        <f>+J445*G497+E497</f>
        <v>0</v>
      </c>
      <c r="J497" s="792">
        <f t="shared" si="42"/>
        <v>0</v>
      </c>
      <c r="K497" s="792"/>
      <c r="L497" s="812"/>
      <c r="M497" s="792">
        <f t="shared" si="36"/>
        <v>0</v>
      </c>
      <c r="N497" s="812"/>
      <c r="O497" s="792">
        <f t="shared" si="37"/>
        <v>0</v>
      </c>
      <c r="P497" s="792">
        <f t="shared" si="38"/>
        <v>0</v>
      </c>
    </row>
    <row r="498" spans="3:16">
      <c r="C498" s="788">
        <f>IF(D443="","-",+C497+1)</f>
        <v>2062</v>
      </c>
      <c r="D498" s="736">
        <f t="shared" si="39"/>
        <v>0</v>
      </c>
      <c r="E498" s="789">
        <f t="shared" si="41"/>
        <v>0</v>
      </c>
      <c r="F498" s="789">
        <f t="shared" si="35"/>
        <v>0</v>
      </c>
      <c r="G498" s="736">
        <f t="shared" si="40"/>
        <v>0</v>
      </c>
      <c r="H498" s="794">
        <f>+J444*G498+E498</f>
        <v>0</v>
      </c>
      <c r="I498" s="795">
        <f>+J445*G498+E498</f>
        <v>0</v>
      </c>
      <c r="J498" s="792">
        <f t="shared" si="42"/>
        <v>0</v>
      </c>
      <c r="K498" s="792"/>
      <c r="L498" s="812"/>
      <c r="M498" s="792">
        <f t="shared" si="36"/>
        <v>0</v>
      </c>
      <c r="N498" s="812"/>
      <c r="O498" s="792">
        <f t="shared" si="37"/>
        <v>0</v>
      </c>
      <c r="P498" s="792">
        <f t="shared" si="38"/>
        <v>0</v>
      </c>
    </row>
    <row r="499" spans="3:16">
      <c r="C499" s="788">
        <f>IF(D443="","-",+C498+1)</f>
        <v>2063</v>
      </c>
      <c r="D499" s="736">
        <f t="shared" si="39"/>
        <v>0</v>
      </c>
      <c r="E499" s="789">
        <f t="shared" si="41"/>
        <v>0</v>
      </c>
      <c r="F499" s="789">
        <f t="shared" si="35"/>
        <v>0</v>
      </c>
      <c r="G499" s="736">
        <f t="shared" si="40"/>
        <v>0</v>
      </c>
      <c r="H499" s="794">
        <f>+J444*G499+E499</f>
        <v>0</v>
      </c>
      <c r="I499" s="795">
        <f>+J445*G499+E499</f>
        <v>0</v>
      </c>
      <c r="J499" s="792">
        <f t="shared" si="42"/>
        <v>0</v>
      </c>
      <c r="K499" s="792"/>
      <c r="L499" s="812"/>
      <c r="M499" s="792">
        <f t="shared" si="36"/>
        <v>0</v>
      </c>
      <c r="N499" s="812"/>
      <c r="O499" s="792">
        <f t="shared" si="37"/>
        <v>0</v>
      </c>
      <c r="P499" s="792">
        <f t="shared" si="38"/>
        <v>0</v>
      </c>
    </row>
    <row r="500" spans="3:16">
      <c r="C500" s="788">
        <f>IF(D443="","-",+C499+1)</f>
        <v>2064</v>
      </c>
      <c r="D500" s="736">
        <f t="shared" si="39"/>
        <v>0</v>
      </c>
      <c r="E500" s="789">
        <f t="shared" si="41"/>
        <v>0</v>
      </c>
      <c r="F500" s="789">
        <f t="shared" si="35"/>
        <v>0</v>
      </c>
      <c r="G500" s="736">
        <f t="shared" si="40"/>
        <v>0</v>
      </c>
      <c r="H500" s="794">
        <f>+J444*G500+E500</f>
        <v>0</v>
      </c>
      <c r="I500" s="795">
        <f>+J445*G500+E500</f>
        <v>0</v>
      </c>
      <c r="J500" s="792">
        <f t="shared" si="42"/>
        <v>0</v>
      </c>
      <c r="K500" s="792"/>
      <c r="L500" s="812"/>
      <c r="M500" s="792">
        <f t="shared" si="36"/>
        <v>0</v>
      </c>
      <c r="N500" s="812"/>
      <c r="O500" s="792">
        <f t="shared" si="37"/>
        <v>0</v>
      </c>
      <c r="P500" s="792">
        <f t="shared" si="38"/>
        <v>0</v>
      </c>
    </row>
    <row r="501" spans="3:16">
      <c r="C501" s="788">
        <f>IF(D443="","-",+C500+1)</f>
        <v>2065</v>
      </c>
      <c r="D501" s="736">
        <f t="shared" si="39"/>
        <v>0</v>
      </c>
      <c r="E501" s="789">
        <f t="shared" si="41"/>
        <v>0</v>
      </c>
      <c r="F501" s="789">
        <f t="shared" si="35"/>
        <v>0</v>
      </c>
      <c r="G501" s="736">
        <f t="shared" si="40"/>
        <v>0</v>
      </c>
      <c r="H501" s="794">
        <f>+J444*G501+E501</f>
        <v>0</v>
      </c>
      <c r="I501" s="795">
        <f>+J445*G501+E501</f>
        <v>0</v>
      </c>
      <c r="J501" s="792">
        <f t="shared" si="42"/>
        <v>0</v>
      </c>
      <c r="K501" s="792"/>
      <c r="L501" s="812"/>
      <c r="M501" s="792">
        <f t="shared" si="36"/>
        <v>0</v>
      </c>
      <c r="N501" s="812"/>
      <c r="O501" s="792">
        <f t="shared" si="37"/>
        <v>0</v>
      </c>
      <c r="P501" s="792">
        <f t="shared" si="38"/>
        <v>0</v>
      </c>
    </row>
    <row r="502" spans="3:16">
      <c r="C502" s="788">
        <f>IF(D443="","-",+C501+1)</f>
        <v>2066</v>
      </c>
      <c r="D502" s="736">
        <f t="shared" si="39"/>
        <v>0</v>
      </c>
      <c r="E502" s="789">
        <f t="shared" si="41"/>
        <v>0</v>
      </c>
      <c r="F502" s="789">
        <f t="shared" si="35"/>
        <v>0</v>
      </c>
      <c r="G502" s="736">
        <f t="shared" si="40"/>
        <v>0</v>
      </c>
      <c r="H502" s="794">
        <f>+J444*G502+E502</f>
        <v>0</v>
      </c>
      <c r="I502" s="795">
        <f>+J445*G502+E502</f>
        <v>0</v>
      </c>
      <c r="J502" s="792">
        <f t="shared" si="42"/>
        <v>0</v>
      </c>
      <c r="K502" s="792"/>
      <c r="L502" s="812"/>
      <c r="M502" s="792">
        <f t="shared" si="36"/>
        <v>0</v>
      </c>
      <c r="N502" s="812"/>
      <c r="O502" s="792">
        <f t="shared" si="37"/>
        <v>0</v>
      </c>
      <c r="P502" s="792">
        <f t="shared" si="38"/>
        <v>0</v>
      </c>
    </row>
    <row r="503" spans="3:16">
      <c r="C503" s="788">
        <f>IF(D443="","-",+C502+1)</f>
        <v>2067</v>
      </c>
      <c r="D503" s="736">
        <f t="shared" ref="D503:D508" si="43">F502</f>
        <v>0</v>
      </c>
      <c r="E503" s="789">
        <f t="shared" si="41"/>
        <v>0</v>
      </c>
      <c r="F503" s="789">
        <f t="shared" si="35"/>
        <v>0</v>
      </c>
      <c r="G503" s="736">
        <f t="shared" si="40"/>
        <v>0</v>
      </c>
      <c r="H503" s="794">
        <f>+J444*G503+E503</f>
        <v>0</v>
      </c>
      <c r="I503" s="795">
        <f>+J445*G503+E503</f>
        <v>0</v>
      </c>
      <c r="J503" s="792">
        <f t="shared" si="42"/>
        <v>0</v>
      </c>
      <c r="K503" s="792"/>
      <c r="L503" s="812"/>
      <c r="M503" s="792">
        <f t="shared" si="36"/>
        <v>0</v>
      </c>
      <c r="N503" s="812"/>
      <c r="O503" s="792">
        <f t="shared" si="37"/>
        <v>0</v>
      </c>
      <c r="P503" s="792">
        <f t="shared" si="38"/>
        <v>0</v>
      </c>
    </row>
    <row r="504" spans="3:16">
      <c r="C504" s="788">
        <f>IF(D443="","-",+C503+1)</f>
        <v>2068</v>
      </c>
      <c r="D504" s="736">
        <f t="shared" si="43"/>
        <v>0</v>
      </c>
      <c r="E504" s="789">
        <f t="shared" si="41"/>
        <v>0</v>
      </c>
      <c r="F504" s="789">
        <f t="shared" si="35"/>
        <v>0</v>
      </c>
      <c r="G504" s="736">
        <f t="shared" si="40"/>
        <v>0</v>
      </c>
      <c r="H504" s="794">
        <f>+J444*G504+E504</f>
        <v>0</v>
      </c>
      <c r="I504" s="795">
        <f>+J445*G504+E504</f>
        <v>0</v>
      </c>
      <c r="J504" s="792">
        <f t="shared" si="42"/>
        <v>0</v>
      </c>
      <c r="K504" s="792"/>
      <c r="L504" s="812"/>
      <c r="M504" s="792">
        <f t="shared" si="36"/>
        <v>0</v>
      </c>
      <c r="N504" s="812"/>
      <c r="O504" s="792">
        <f t="shared" si="37"/>
        <v>0</v>
      </c>
      <c r="P504" s="792">
        <f t="shared" si="38"/>
        <v>0</v>
      </c>
    </row>
    <row r="505" spans="3:16">
      <c r="C505" s="788">
        <f>IF(D443="","-",+C504+1)</f>
        <v>2069</v>
      </c>
      <c r="D505" s="736">
        <f t="shared" si="43"/>
        <v>0</v>
      </c>
      <c r="E505" s="789">
        <f t="shared" si="41"/>
        <v>0</v>
      </c>
      <c r="F505" s="789">
        <f t="shared" si="35"/>
        <v>0</v>
      </c>
      <c r="G505" s="736">
        <f t="shared" si="40"/>
        <v>0</v>
      </c>
      <c r="H505" s="794">
        <f>+J444*G505+E505</f>
        <v>0</v>
      </c>
      <c r="I505" s="795">
        <f>+J445*G505+E505</f>
        <v>0</v>
      </c>
      <c r="J505" s="792">
        <f t="shared" si="42"/>
        <v>0</v>
      </c>
      <c r="K505" s="792"/>
      <c r="L505" s="812"/>
      <c r="M505" s="792">
        <f t="shared" si="36"/>
        <v>0</v>
      </c>
      <c r="N505" s="812"/>
      <c r="O505" s="792">
        <f t="shared" si="37"/>
        <v>0</v>
      </c>
      <c r="P505" s="792">
        <f t="shared" si="38"/>
        <v>0</v>
      </c>
    </row>
    <row r="506" spans="3:16">
      <c r="C506" s="788">
        <f>IF(D443="","-",+C505+1)</f>
        <v>2070</v>
      </c>
      <c r="D506" s="736">
        <f t="shared" si="43"/>
        <v>0</v>
      </c>
      <c r="E506" s="789">
        <f t="shared" si="41"/>
        <v>0</v>
      </c>
      <c r="F506" s="789">
        <f t="shared" si="35"/>
        <v>0</v>
      </c>
      <c r="G506" s="736">
        <f t="shared" si="40"/>
        <v>0</v>
      </c>
      <c r="H506" s="794">
        <f>+J444*G506+E506</f>
        <v>0</v>
      </c>
      <c r="I506" s="795">
        <f>+J445*G506+E506</f>
        <v>0</v>
      </c>
      <c r="J506" s="792">
        <f t="shared" si="42"/>
        <v>0</v>
      </c>
      <c r="K506" s="792"/>
      <c r="L506" s="812"/>
      <c r="M506" s="792">
        <f t="shared" si="36"/>
        <v>0</v>
      </c>
      <c r="N506" s="812"/>
      <c r="O506" s="792">
        <f t="shared" si="37"/>
        <v>0</v>
      </c>
      <c r="P506" s="792">
        <f t="shared" si="38"/>
        <v>0</v>
      </c>
    </row>
    <row r="507" spans="3:16">
      <c r="C507" s="788">
        <f>IF(D443="","-",+C506+1)</f>
        <v>2071</v>
      </c>
      <c r="D507" s="736">
        <f t="shared" si="43"/>
        <v>0</v>
      </c>
      <c r="E507" s="789">
        <f t="shared" si="41"/>
        <v>0</v>
      </c>
      <c r="F507" s="789">
        <f t="shared" si="35"/>
        <v>0</v>
      </c>
      <c r="G507" s="736">
        <f t="shared" si="40"/>
        <v>0</v>
      </c>
      <c r="H507" s="794">
        <f>+J444*G507+E507</f>
        <v>0</v>
      </c>
      <c r="I507" s="795">
        <f>+J445*G507+E507</f>
        <v>0</v>
      </c>
      <c r="J507" s="792">
        <f t="shared" si="42"/>
        <v>0</v>
      </c>
      <c r="K507" s="792"/>
      <c r="L507" s="812"/>
      <c r="M507" s="792">
        <f t="shared" si="36"/>
        <v>0</v>
      </c>
      <c r="N507" s="812"/>
      <c r="O507" s="792">
        <f t="shared" si="37"/>
        <v>0</v>
      </c>
      <c r="P507" s="792">
        <f t="shared" si="38"/>
        <v>0</v>
      </c>
    </row>
    <row r="508" spans="3:16" ht="13.5" thickBot="1">
      <c r="C508" s="798">
        <f>IF(D443="","-",+C507+1)</f>
        <v>2072</v>
      </c>
      <c r="D508" s="799">
        <f t="shared" si="43"/>
        <v>0</v>
      </c>
      <c r="E508" s="800">
        <f t="shared" si="41"/>
        <v>0</v>
      </c>
      <c r="F508" s="800">
        <f t="shared" si="35"/>
        <v>0</v>
      </c>
      <c r="G508" s="799">
        <f t="shared" si="40"/>
        <v>0</v>
      </c>
      <c r="H508" s="801">
        <f>+J444*G508+E508</f>
        <v>0</v>
      </c>
      <c r="I508" s="801">
        <f>+J445*G508+E508</f>
        <v>0</v>
      </c>
      <c r="J508" s="802">
        <f t="shared" si="42"/>
        <v>0</v>
      </c>
      <c r="K508" s="792"/>
      <c r="L508" s="813"/>
      <c r="M508" s="802">
        <f t="shared" si="36"/>
        <v>0</v>
      </c>
      <c r="N508" s="813"/>
      <c r="O508" s="802">
        <f t="shared" si="37"/>
        <v>0</v>
      </c>
      <c r="P508" s="802">
        <f t="shared" si="38"/>
        <v>0</v>
      </c>
    </row>
    <row r="509" spans="3:16">
      <c r="C509" s="736" t="s">
        <v>83</v>
      </c>
      <c r="D509" s="730"/>
      <c r="E509" s="730">
        <f>SUM(E449:E508)</f>
        <v>1076416.06</v>
      </c>
      <c r="F509" s="730"/>
      <c r="G509" s="730"/>
      <c r="H509" s="730">
        <f>SUM(H449:H508)</f>
        <v>3928097.2361315633</v>
      </c>
      <c r="I509" s="730">
        <f>SUM(I449:I508)</f>
        <v>3928097.2361315633</v>
      </c>
      <c r="J509" s="730">
        <f>SUM(J449:J508)</f>
        <v>0</v>
      </c>
      <c r="K509" s="730"/>
      <c r="L509" s="730"/>
      <c r="M509" s="730"/>
      <c r="N509" s="730"/>
      <c r="O509" s="730"/>
    </row>
    <row r="510" spans="3:16">
      <c r="D510" s="538"/>
      <c r="E510" s="313"/>
      <c r="F510" s="313"/>
      <c r="G510" s="313"/>
      <c r="H510" s="313"/>
      <c r="I510" s="708"/>
      <c r="J510" s="708"/>
      <c r="K510" s="730"/>
      <c r="L510" s="708"/>
      <c r="M510" s="708"/>
      <c r="N510" s="708"/>
      <c r="O510" s="708"/>
    </row>
    <row r="511" spans="3:16">
      <c r="C511" s="313" t="s">
        <v>13</v>
      </c>
      <c r="D511" s="538"/>
      <c r="E511" s="313"/>
      <c r="F511" s="313"/>
      <c r="G511" s="313"/>
      <c r="H511" s="313"/>
      <c r="I511" s="708"/>
      <c r="J511" s="708"/>
      <c r="K511" s="730"/>
      <c r="L511" s="708"/>
      <c r="M511" s="708"/>
      <c r="N511" s="708"/>
      <c r="O511" s="708"/>
    </row>
    <row r="512" spans="3:16">
      <c r="C512" s="313"/>
      <c r="D512" s="538"/>
      <c r="E512" s="313"/>
      <c r="F512" s="313"/>
      <c r="G512" s="313"/>
      <c r="H512" s="313"/>
      <c r="I512" s="708"/>
      <c r="J512" s="708"/>
      <c r="K512" s="730"/>
      <c r="L512" s="708"/>
      <c r="M512" s="708"/>
      <c r="N512" s="708"/>
      <c r="O512" s="708"/>
    </row>
    <row r="513" spans="1:17">
      <c r="C513" s="749" t="s">
        <v>14</v>
      </c>
      <c r="D513" s="736"/>
      <c r="E513" s="736"/>
      <c r="F513" s="736"/>
      <c r="G513" s="736"/>
      <c r="H513" s="730"/>
      <c r="I513" s="730"/>
      <c r="J513" s="804"/>
      <c r="K513" s="804"/>
      <c r="L513" s="804"/>
      <c r="M513" s="804"/>
      <c r="N513" s="804"/>
      <c r="O513" s="804"/>
    </row>
    <row r="514" spans="1:17">
      <c r="C514" s="735" t="s">
        <v>263</v>
      </c>
      <c r="D514" s="736"/>
      <c r="E514" s="736"/>
      <c r="F514" s="736"/>
      <c r="G514" s="736"/>
      <c r="H514" s="730"/>
      <c r="I514" s="730"/>
      <c r="J514" s="804"/>
      <c r="K514" s="804"/>
      <c r="L514" s="804"/>
      <c r="M514" s="804"/>
      <c r="N514" s="804"/>
      <c r="O514" s="804"/>
    </row>
    <row r="515" spans="1:17">
      <c r="C515" s="735" t="s">
        <v>84</v>
      </c>
      <c r="D515" s="736"/>
      <c r="E515" s="736"/>
      <c r="F515" s="736"/>
      <c r="G515" s="736"/>
      <c r="H515" s="730"/>
      <c r="I515" s="730"/>
      <c r="J515" s="804"/>
      <c r="K515" s="804"/>
      <c r="L515" s="804"/>
      <c r="M515" s="804"/>
      <c r="N515" s="804"/>
      <c r="O515" s="804"/>
    </row>
    <row r="517" spans="1:17" ht="20.25">
      <c r="A517" s="737" t="str">
        <f>""&amp;A442&amp;" Worksheet K -  ATRR TRUE-UP Calculation for PJM Projects Charged to Benefiting Zones"</f>
        <v xml:space="preserve"> Worksheet K -  ATRR TRUE-UP Calculation for PJM Projects Charged to Benefiting Zones</v>
      </c>
      <c r="B517" s="347"/>
      <c r="C517" s="725"/>
      <c r="D517" s="538"/>
      <c r="E517" s="313"/>
      <c r="F517" s="707"/>
      <c r="G517" s="707"/>
      <c r="H517" s="313"/>
      <c r="I517" s="708"/>
      <c r="L517" s="564"/>
      <c r="M517" s="564"/>
      <c r="N517" s="564"/>
      <c r="O517" s="653" t="str">
        <f>"Page "&amp;SUM(Q$8:Q517)&amp;" of "</f>
        <v xml:space="preserve">Page 7 of </v>
      </c>
      <c r="P517" s="654">
        <f>COUNT(Q$8:Q$57703)</f>
        <v>22</v>
      </c>
      <c r="Q517" s="655">
        <v>1</v>
      </c>
    </row>
    <row r="518" spans="1:17">
      <c r="B518" s="347"/>
      <c r="C518" s="313"/>
      <c r="D518" s="538"/>
      <c r="E518" s="313"/>
      <c r="F518" s="313"/>
      <c r="G518" s="313"/>
      <c r="H518" s="313"/>
      <c r="I518" s="708"/>
      <c r="J518" s="313"/>
      <c r="K518" s="426"/>
    </row>
    <row r="519" spans="1:17" ht="18">
      <c r="B519" s="657" t="s">
        <v>466</v>
      </c>
      <c r="C519" s="739" t="s">
        <v>85</v>
      </c>
      <c r="D519" s="538"/>
      <c r="E519" s="313"/>
      <c r="F519" s="313"/>
      <c r="G519" s="313"/>
      <c r="H519" s="313"/>
      <c r="I519" s="708"/>
      <c r="J519" s="708"/>
      <c r="K519" s="730"/>
      <c r="L519" s="708"/>
      <c r="M519" s="708"/>
      <c r="N519" s="708"/>
      <c r="O519" s="708"/>
    </row>
    <row r="520" spans="1:17" ht="18.75">
      <c r="B520" s="657"/>
      <c r="C520" s="656"/>
      <c r="D520" s="538"/>
      <c r="E520" s="313"/>
      <c r="F520" s="313"/>
      <c r="G520" s="313"/>
      <c r="H520" s="313"/>
      <c r="I520" s="708"/>
      <c r="J520" s="708"/>
      <c r="K520" s="730"/>
      <c r="L520" s="708"/>
      <c r="M520" s="708"/>
      <c r="N520" s="708"/>
      <c r="O520" s="708"/>
    </row>
    <row r="521" spans="1:17" ht="18.75">
      <c r="B521" s="657"/>
      <c r="C521" s="656" t="s">
        <v>86</v>
      </c>
      <c r="D521" s="538"/>
      <c r="E521" s="313"/>
      <c r="F521" s="313"/>
      <c r="G521" s="313"/>
      <c r="H521" s="313"/>
      <c r="I521" s="708"/>
      <c r="J521" s="708"/>
      <c r="K521" s="730"/>
      <c r="L521" s="708"/>
      <c r="M521" s="708"/>
      <c r="N521" s="708"/>
      <c r="O521" s="708"/>
    </row>
    <row r="522" spans="1:17" ht="15.75" thickBot="1">
      <c r="C522" s="239"/>
      <c r="D522" s="538"/>
      <c r="E522" s="313"/>
      <c r="F522" s="313"/>
      <c r="G522" s="313"/>
      <c r="H522" s="313"/>
      <c r="I522" s="708"/>
      <c r="J522" s="708"/>
      <c r="K522" s="730"/>
      <c r="L522" s="708"/>
      <c r="M522" s="708"/>
      <c r="N522" s="708"/>
      <c r="O522" s="708"/>
    </row>
    <row r="523" spans="1:17" ht="15.75">
      <c r="C523" s="659" t="s">
        <v>87</v>
      </c>
      <c r="D523" s="538"/>
      <c r="E523" s="313"/>
      <c r="F523" s="313"/>
      <c r="G523" s="313"/>
      <c r="H523" s="806"/>
      <c r="I523" s="313" t="s">
        <v>66</v>
      </c>
      <c r="J523" s="313"/>
      <c r="K523" s="426"/>
      <c r="L523" s="835">
        <f>+J529</f>
        <v>2023</v>
      </c>
      <c r="M523" s="816" t="s">
        <v>45</v>
      </c>
      <c r="N523" s="816" t="s">
        <v>46</v>
      </c>
      <c r="O523" s="817" t="s">
        <v>47</v>
      </c>
    </row>
    <row r="524" spans="1:17" ht="15.75">
      <c r="C524" s="659"/>
      <c r="D524" s="538"/>
      <c r="E524" s="313"/>
      <c r="F524" s="313"/>
      <c r="H524" s="313"/>
      <c r="I524" s="744"/>
      <c r="J524" s="744"/>
      <c r="K524" s="745"/>
      <c r="L524" s="836" t="s">
        <v>235</v>
      </c>
      <c r="M524" s="837">
        <f>VLOOKUP(J529,C536:P595,10)</f>
        <v>957108.55717782257</v>
      </c>
      <c r="N524" s="837">
        <f>VLOOKUP(J529,C536:P595,12)</f>
        <v>957108.55717782257</v>
      </c>
      <c r="O524" s="838">
        <f>+N524-M524</f>
        <v>0</v>
      </c>
    </row>
    <row r="525" spans="1:17" ht="12.95" customHeight="1">
      <c r="C525" s="749" t="s">
        <v>88</v>
      </c>
      <c r="D525" s="1539" t="s">
        <v>813</v>
      </c>
      <c r="E525" s="1540"/>
      <c r="F525" s="1540"/>
      <c r="G525" s="1540"/>
      <c r="H525" s="1540"/>
      <c r="I525" s="1540"/>
      <c r="J525" s="708"/>
      <c r="K525" s="730"/>
      <c r="L525" s="836" t="s">
        <v>236</v>
      </c>
      <c r="M525" s="839">
        <f>VLOOKUP(J529,C536:P595,6)</f>
        <v>916845.68164606008</v>
      </c>
      <c r="N525" s="839">
        <f>VLOOKUP(J529,C536:P595,7)</f>
        <v>916845.68164606008</v>
      </c>
      <c r="O525" s="840">
        <f>+N525-M525</f>
        <v>0</v>
      </c>
    </row>
    <row r="526" spans="1:17" ht="13.5" thickBot="1">
      <c r="C526" s="753"/>
      <c r="D526" s="1540"/>
      <c r="E526" s="1540"/>
      <c r="F526" s="1540"/>
      <c r="G526" s="1540"/>
      <c r="H526" s="1540"/>
      <c r="I526" s="1540"/>
      <c r="J526" s="708"/>
      <c r="K526" s="730"/>
      <c r="L526" s="772" t="s">
        <v>237</v>
      </c>
      <c r="M526" s="841">
        <f>+M525-M524</f>
        <v>-40262.875531762489</v>
      </c>
      <c r="N526" s="841">
        <f>+N525-N524</f>
        <v>-40262.875531762489</v>
      </c>
      <c r="O526" s="842">
        <f>+O525-O524</f>
        <v>0</v>
      </c>
    </row>
    <row r="527" spans="1:17" ht="13.5" thickBot="1">
      <c r="C527" s="756"/>
      <c r="D527" s="757"/>
      <c r="E527" s="755"/>
      <c r="F527" s="755"/>
      <c r="G527" s="755"/>
      <c r="H527" s="755"/>
      <c r="I527" s="755"/>
      <c r="J527" s="755"/>
      <c r="K527" s="758"/>
      <c r="L527" s="755"/>
      <c r="M527" s="755"/>
      <c r="N527" s="755"/>
      <c r="O527" s="755"/>
      <c r="P527" s="347"/>
    </row>
    <row r="528" spans="1:17" ht="13.5" thickBot="1">
      <c r="C528" s="759" t="s">
        <v>89</v>
      </c>
      <c r="D528" s="760"/>
      <c r="E528" s="760"/>
      <c r="F528" s="760"/>
      <c r="G528" s="760"/>
      <c r="H528" s="760"/>
      <c r="I528" s="760"/>
      <c r="J528" s="760"/>
      <c r="K528" s="762"/>
      <c r="P528" s="763"/>
    </row>
    <row r="529" spans="2:16" ht="15">
      <c r="C529" s="764" t="s">
        <v>67</v>
      </c>
      <c r="D529" s="808">
        <v>6849656.75</v>
      </c>
      <c r="E529" s="725" t="s">
        <v>68</v>
      </c>
      <c r="H529" s="765"/>
      <c r="I529" s="765"/>
      <c r="J529" s="766">
        <f>$J$93</f>
        <v>2023</v>
      </c>
      <c r="K529" s="554"/>
      <c r="L529" s="1536" t="s">
        <v>69</v>
      </c>
      <c r="M529" s="1536"/>
      <c r="N529" s="1536"/>
      <c r="O529" s="1536"/>
      <c r="P529" s="426"/>
    </row>
    <row r="530" spans="2:16">
      <c r="C530" s="764" t="s">
        <v>70</v>
      </c>
      <c r="D530" s="809">
        <v>2013</v>
      </c>
      <c r="E530" s="764" t="s">
        <v>71</v>
      </c>
      <c r="F530" s="765"/>
      <c r="G530" s="765"/>
      <c r="I530" s="172"/>
      <c r="J530" s="810">
        <f>IF(H523="",0,$F$17)</f>
        <v>0</v>
      </c>
      <c r="K530" s="767"/>
      <c r="L530" s="730" t="s">
        <v>277</v>
      </c>
      <c r="P530" s="426"/>
    </row>
    <row r="531" spans="2:16">
      <c r="C531" s="764" t="s">
        <v>72</v>
      </c>
      <c r="D531" s="808">
        <v>12</v>
      </c>
      <c r="E531" s="764" t="s">
        <v>73</v>
      </c>
      <c r="F531" s="765"/>
      <c r="G531" s="765"/>
      <c r="I531" s="172"/>
      <c r="J531" s="768">
        <f>$F$70</f>
        <v>0.14450383244078713</v>
      </c>
      <c r="K531" s="769"/>
      <c r="L531" s="313" t="str">
        <f>"          INPUT TRUE-UP ARR (WITH &amp; WITHOUT INCENTIVES) FROM EACH PRIOR YEAR"</f>
        <v xml:space="preserve">          INPUT TRUE-UP ARR (WITH &amp; WITHOUT INCENTIVES) FROM EACH PRIOR YEAR</v>
      </c>
      <c r="P531" s="426"/>
    </row>
    <row r="532" spans="2:16">
      <c r="C532" s="764" t="s">
        <v>74</v>
      </c>
      <c r="D532" s="770">
        <f>H$79</f>
        <v>35</v>
      </c>
      <c r="E532" s="764" t="s">
        <v>75</v>
      </c>
      <c r="F532" s="765"/>
      <c r="G532" s="765"/>
      <c r="I532" s="172"/>
      <c r="J532" s="768">
        <f>IF(H523="",+J531,$F$69)</f>
        <v>0.14450383244078713</v>
      </c>
      <c r="K532" s="771"/>
      <c r="L532" s="313" t="s">
        <v>157</v>
      </c>
      <c r="M532" s="771"/>
      <c r="N532" s="771"/>
      <c r="O532" s="771"/>
      <c r="P532" s="426"/>
    </row>
    <row r="533" spans="2:16" ht="13.5" thickBot="1">
      <c r="C533" s="764" t="s">
        <v>76</v>
      </c>
      <c r="D533" s="807" t="s">
        <v>808</v>
      </c>
      <c r="E533" s="772" t="s">
        <v>77</v>
      </c>
      <c r="F533" s="773"/>
      <c r="G533" s="773"/>
      <c r="H533" s="774"/>
      <c r="I533" s="774"/>
      <c r="J533" s="752">
        <f>IF(D529=0,0,D529/D532)</f>
        <v>195704.47857142857</v>
      </c>
      <c r="K533" s="730"/>
      <c r="L533" s="730" t="s">
        <v>158</v>
      </c>
      <c r="M533" s="730"/>
      <c r="N533" s="730"/>
      <c r="O533" s="730"/>
      <c r="P533" s="426"/>
    </row>
    <row r="534" spans="2:16" ht="38.25">
      <c r="B534" s="845"/>
      <c r="C534" s="775" t="s">
        <v>67</v>
      </c>
      <c r="D534" s="776" t="s">
        <v>78</v>
      </c>
      <c r="E534" s="777" t="s">
        <v>79</v>
      </c>
      <c r="F534" s="776" t="s">
        <v>80</v>
      </c>
      <c r="G534" s="776" t="s">
        <v>238</v>
      </c>
      <c r="H534" s="777" t="s">
        <v>151</v>
      </c>
      <c r="I534" s="778" t="s">
        <v>151</v>
      </c>
      <c r="J534" s="775" t="s">
        <v>90</v>
      </c>
      <c r="K534" s="779"/>
      <c r="L534" s="777" t="s">
        <v>153</v>
      </c>
      <c r="M534" s="777" t="s">
        <v>159</v>
      </c>
      <c r="N534" s="777" t="s">
        <v>153</v>
      </c>
      <c r="O534" s="777" t="s">
        <v>161</v>
      </c>
      <c r="P534" s="777" t="s">
        <v>81</v>
      </c>
    </row>
    <row r="535" spans="2:16" ht="13.5" thickBot="1">
      <c r="C535" s="781" t="s">
        <v>469</v>
      </c>
      <c r="D535" s="782" t="s">
        <v>470</v>
      </c>
      <c r="E535" s="781" t="s">
        <v>363</v>
      </c>
      <c r="F535" s="782" t="s">
        <v>470</v>
      </c>
      <c r="G535" s="782" t="s">
        <v>470</v>
      </c>
      <c r="H535" s="783" t="s">
        <v>93</v>
      </c>
      <c r="I535" s="784" t="s">
        <v>95</v>
      </c>
      <c r="J535" s="785" t="s">
        <v>15</v>
      </c>
      <c r="K535" s="786"/>
      <c r="L535" s="783" t="s">
        <v>82</v>
      </c>
      <c r="M535" s="783" t="s">
        <v>82</v>
      </c>
      <c r="N535" s="783" t="s">
        <v>255</v>
      </c>
      <c r="O535" s="783" t="s">
        <v>255</v>
      </c>
      <c r="P535" s="783" t="s">
        <v>255</v>
      </c>
    </row>
    <row r="536" spans="2:16">
      <c r="C536" s="788">
        <f>IF(D530= "","-",D530)</f>
        <v>2013</v>
      </c>
      <c r="D536" s="736">
        <f>+D529</f>
        <v>6849656.75</v>
      </c>
      <c r="E536" s="794">
        <f>+J533/12*(12-D531)</f>
        <v>0</v>
      </c>
      <c r="F536" s="843">
        <f t="shared" ref="F536:F595" si="44">+D536-E536</f>
        <v>6849656.75</v>
      </c>
      <c r="G536" s="736">
        <f>+(D536+F536)/2</f>
        <v>6849656.75</v>
      </c>
      <c r="H536" s="790">
        <f>+J531*G536+E536</f>
        <v>989801.6512789065</v>
      </c>
      <c r="I536" s="791">
        <f>+J532*G536+E536</f>
        <v>989801.6512789065</v>
      </c>
      <c r="J536" s="792">
        <f>+I536-H536</f>
        <v>0</v>
      </c>
      <c r="K536" s="792"/>
      <c r="L536" s="811">
        <v>576980</v>
      </c>
      <c r="M536" s="844">
        <f t="shared" ref="M536:M595" si="45">IF(L536&lt;&gt;0,+H536-L536,0)</f>
        <v>412821.6512789065</v>
      </c>
      <c r="N536" s="811">
        <v>576980</v>
      </c>
      <c r="O536" s="844">
        <f t="shared" ref="O536:O595" si="46">IF(N536&lt;&gt;0,+I536-N536,0)</f>
        <v>412821.6512789065</v>
      </c>
      <c r="P536" s="844">
        <f t="shared" ref="P536:P595" si="47">+O536-M536</f>
        <v>0</v>
      </c>
    </row>
    <row r="537" spans="2:16">
      <c r="C537" s="788">
        <f>IF(D530="","-",+C536+1)</f>
        <v>2014</v>
      </c>
      <c r="D537" s="736">
        <f t="shared" ref="D537:D589" si="48">F536</f>
        <v>6849656.75</v>
      </c>
      <c r="E537" s="789">
        <f>IF(D537&gt;$J$533,$J$533,D537)</f>
        <v>195704.47857142857</v>
      </c>
      <c r="F537" s="789">
        <f t="shared" si="44"/>
        <v>6653952.2714285711</v>
      </c>
      <c r="G537" s="736">
        <f t="shared" ref="G537:G595" si="49">+(D537+F537)/2</f>
        <v>6751804.5107142851</v>
      </c>
      <c r="H537" s="794">
        <f>+J531*G537+E537</f>
        <v>1171366.1062606364</v>
      </c>
      <c r="I537" s="795">
        <f>+J532*G537+E537</f>
        <v>1171366.1062606364</v>
      </c>
      <c r="J537" s="792">
        <f>+I537-H537</f>
        <v>0</v>
      </c>
      <c r="K537" s="792"/>
      <c r="L537" s="812">
        <v>900905</v>
      </c>
      <c r="M537" s="792">
        <f t="shared" si="45"/>
        <v>270461.10626063636</v>
      </c>
      <c r="N537" s="812">
        <v>900905</v>
      </c>
      <c r="O537" s="792">
        <f t="shared" si="46"/>
        <v>270461.10626063636</v>
      </c>
      <c r="P537" s="792">
        <f t="shared" si="47"/>
        <v>0</v>
      </c>
    </row>
    <row r="538" spans="2:16">
      <c r="C538" s="788">
        <f>IF(D530="","-",+C537+1)</f>
        <v>2015</v>
      </c>
      <c r="D538" s="736">
        <f t="shared" si="48"/>
        <v>6653952.2714285711</v>
      </c>
      <c r="E538" s="789">
        <f t="shared" ref="E538:E595" si="50">IF(D538&gt;$J$533,$J$533,D538)</f>
        <v>195704.47857142857</v>
      </c>
      <c r="F538" s="789">
        <f t="shared" si="44"/>
        <v>6458247.7928571422</v>
      </c>
      <c r="G538" s="736">
        <f t="shared" si="49"/>
        <v>6556100.0321428571</v>
      </c>
      <c r="H538" s="794">
        <f>+J531*G538+E538</f>
        <v>1143086.0590812392</v>
      </c>
      <c r="I538" s="795">
        <f>+J532*G538+E538</f>
        <v>1143086.0590812392</v>
      </c>
      <c r="J538" s="792">
        <f t="shared" ref="J538:J595" si="51">+I538-H538</f>
        <v>0</v>
      </c>
      <c r="K538" s="792"/>
      <c r="L538" s="812">
        <v>882849</v>
      </c>
      <c r="M538" s="792">
        <f t="shared" si="45"/>
        <v>260237.05908123916</v>
      </c>
      <c r="N538" s="812">
        <v>882849</v>
      </c>
      <c r="O538" s="792">
        <f t="shared" si="46"/>
        <v>260237.05908123916</v>
      </c>
      <c r="P538" s="792">
        <f t="shared" si="47"/>
        <v>0</v>
      </c>
    </row>
    <row r="539" spans="2:16">
      <c r="C539" s="788">
        <f>IF(D530="","-",+C538+1)</f>
        <v>2016</v>
      </c>
      <c r="D539" s="736">
        <f t="shared" si="48"/>
        <v>6458247.7928571422</v>
      </c>
      <c r="E539" s="789">
        <f t="shared" si="50"/>
        <v>195704.47857142857</v>
      </c>
      <c r="F539" s="789">
        <f t="shared" si="44"/>
        <v>6262543.3142857132</v>
      </c>
      <c r="G539" s="736">
        <f t="shared" si="49"/>
        <v>6360395.5535714272</v>
      </c>
      <c r="H539" s="794">
        <f>+J531*G539+E539</f>
        <v>1114806.0119018415</v>
      </c>
      <c r="I539" s="795">
        <f>+J532*G539+E539</f>
        <v>1114806.0119018415</v>
      </c>
      <c r="J539" s="792">
        <f t="shared" si="51"/>
        <v>0</v>
      </c>
      <c r="K539" s="792"/>
      <c r="L539" s="812">
        <v>964681</v>
      </c>
      <c r="M539" s="792">
        <f t="shared" si="45"/>
        <v>150125.0119018415</v>
      </c>
      <c r="N539" s="812">
        <v>964681</v>
      </c>
      <c r="O539" s="792">
        <f t="shared" si="46"/>
        <v>150125.0119018415</v>
      </c>
      <c r="P539" s="792">
        <f t="shared" si="47"/>
        <v>0</v>
      </c>
    </row>
    <row r="540" spans="2:16">
      <c r="C540" s="788">
        <f>IF(D530="","-",+C539+1)</f>
        <v>2017</v>
      </c>
      <c r="D540" s="736">
        <f t="shared" si="48"/>
        <v>6262543.3142857132</v>
      </c>
      <c r="E540" s="789">
        <f t="shared" si="50"/>
        <v>195704.47857142857</v>
      </c>
      <c r="F540" s="789">
        <f t="shared" si="44"/>
        <v>6066838.8357142843</v>
      </c>
      <c r="G540" s="736">
        <f t="shared" si="49"/>
        <v>6164691.0749999993</v>
      </c>
      <c r="H540" s="794">
        <f>+J531*G540+E540</f>
        <v>1086525.9647224443</v>
      </c>
      <c r="I540" s="795">
        <f>+J532*G540+E540</f>
        <v>1086525.9647224443</v>
      </c>
      <c r="J540" s="792">
        <f t="shared" si="51"/>
        <v>0</v>
      </c>
      <c r="K540" s="792"/>
      <c r="L540" s="812">
        <v>1154533</v>
      </c>
      <c r="M540" s="792">
        <f t="shared" si="45"/>
        <v>-68007.035277555697</v>
      </c>
      <c r="N540" s="812">
        <v>1154533</v>
      </c>
      <c r="O540" s="792">
        <f t="shared" si="46"/>
        <v>-68007.035277555697</v>
      </c>
      <c r="P540" s="792">
        <f t="shared" si="47"/>
        <v>0</v>
      </c>
    </row>
    <row r="541" spans="2:16">
      <c r="C541" s="788">
        <f>IF(D530="","-",+C540+1)</f>
        <v>2018</v>
      </c>
      <c r="D541" s="1402">
        <f t="shared" si="48"/>
        <v>6066838.8357142843</v>
      </c>
      <c r="E541" s="789">
        <f t="shared" si="50"/>
        <v>195704.47857142857</v>
      </c>
      <c r="F541" s="789">
        <f t="shared" si="44"/>
        <v>5871134.3571428554</v>
      </c>
      <c r="G541" s="736">
        <f t="shared" si="49"/>
        <v>5968986.5964285694</v>
      </c>
      <c r="H541" s="794">
        <f>+J531*G541+E541</f>
        <v>1058245.9175430469</v>
      </c>
      <c r="I541" s="795">
        <f>+J532*G541+E541</f>
        <v>1058245.9175430469</v>
      </c>
      <c r="J541" s="792">
        <f t="shared" si="51"/>
        <v>0</v>
      </c>
      <c r="K541" s="792"/>
      <c r="L541" s="812">
        <v>1025972</v>
      </c>
      <c r="M541" s="792">
        <f t="shared" si="45"/>
        <v>32273.917543046875</v>
      </c>
      <c r="N541" s="812">
        <v>1025972</v>
      </c>
      <c r="O541" s="792">
        <f t="shared" si="46"/>
        <v>32273.917543046875</v>
      </c>
      <c r="P541" s="792">
        <f t="shared" si="47"/>
        <v>0</v>
      </c>
    </row>
    <row r="542" spans="2:16">
      <c r="C542" s="788">
        <f>IF(D530="","-",+C541+1)</f>
        <v>2019</v>
      </c>
      <c r="D542" s="1321">
        <f t="shared" si="48"/>
        <v>5871134.3571428554</v>
      </c>
      <c r="E542" s="789">
        <f t="shared" si="50"/>
        <v>195704.47857142857</v>
      </c>
      <c r="F542" s="789">
        <f t="shared" si="44"/>
        <v>5675429.8785714265</v>
      </c>
      <c r="G542" s="736">
        <f t="shared" si="49"/>
        <v>5773282.1178571414</v>
      </c>
      <c r="H542" s="794">
        <f>+J531*G542+E542</f>
        <v>1029965.8703636496</v>
      </c>
      <c r="I542" s="795">
        <f>+J532*G542+E542</f>
        <v>1029965.8703636496</v>
      </c>
      <c r="J542" s="792">
        <f t="shared" si="51"/>
        <v>0</v>
      </c>
      <c r="K542" s="792"/>
      <c r="L542" s="812">
        <v>1049916.1932080418</v>
      </c>
      <c r="M542" s="792">
        <f t="shared" si="45"/>
        <v>-19950.322844392271</v>
      </c>
      <c r="N542" s="812">
        <v>1049916.1932080418</v>
      </c>
      <c r="O542" s="792">
        <f t="shared" si="46"/>
        <v>-19950.322844392271</v>
      </c>
      <c r="P542" s="792">
        <f t="shared" si="47"/>
        <v>0</v>
      </c>
    </row>
    <row r="543" spans="2:16">
      <c r="C543" s="788">
        <f>IF(D530="","-",+C542+1)</f>
        <v>2020</v>
      </c>
      <c r="D543" s="1321">
        <f t="shared" si="48"/>
        <v>5675429.8785714265</v>
      </c>
      <c r="E543" s="789">
        <f t="shared" si="50"/>
        <v>195704.47857142857</v>
      </c>
      <c r="F543" s="789">
        <f t="shared" si="44"/>
        <v>5479725.3999999976</v>
      </c>
      <c r="G543" s="736">
        <f t="shared" si="49"/>
        <v>5577577.6392857116</v>
      </c>
      <c r="H543" s="794">
        <f>+J531*G543+E543</f>
        <v>1001685.823184252</v>
      </c>
      <c r="I543" s="795">
        <f>+J532*G543+E543</f>
        <v>1001685.823184252</v>
      </c>
      <c r="J543" s="792">
        <f t="shared" si="51"/>
        <v>0</v>
      </c>
      <c r="K543" s="792"/>
      <c r="L543" s="812">
        <v>1097508.1705609262</v>
      </c>
      <c r="M543" s="792">
        <f t="shared" si="45"/>
        <v>-95822.347376674181</v>
      </c>
      <c r="N543" s="812">
        <v>1097508.1705609262</v>
      </c>
      <c r="O543" s="792">
        <f t="shared" si="46"/>
        <v>-95822.347376674181</v>
      </c>
      <c r="P543" s="792">
        <f t="shared" si="47"/>
        <v>0</v>
      </c>
    </row>
    <row r="544" spans="2:16">
      <c r="C544" s="788">
        <f>IF(D530="","-",+C543+1)</f>
        <v>2021</v>
      </c>
      <c r="D544" s="736">
        <f t="shared" si="48"/>
        <v>5479725.3999999976</v>
      </c>
      <c r="E544" s="789">
        <f t="shared" si="50"/>
        <v>195704.47857142857</v>
      </c>
      <c r="F544" s="789">
        <f t="shared" si="44"/>
        <v>5284020.9214285687</v>
      </c>
      <c r="G544" s="736">
        <f t="shared" si="49"/>
        <v>5381873.1607142836</v>
      </c>
      <c r="H544" s="794">
        <f>+J531*G544+E544</f>
        <v>973405.77600485482</v>
      </c>
      <c r="I544" s="795">
        <f>+J532*G544+E544</f>
        <v>973405.77600485482</v>
      </c>
      <c r="J544" s="792">
        <f t="shared" si="51"/>
        <v>0</v>
      </c>
      <c r="K544" s="792"/>
      <c r="L544" s="812">
        <v>987531.76843630814</v>
      </c>
      <c r="M544" s="792">
        <f t="shared" si="45"/>
        <v>-14125.992431453313</v>
      </c>
      <c r="N544" s="812">
        <v>987531.76843630814</v>
      </c>
      <c r="O544" s="792">
        <f t="shared" si="46"/>
        <v>-14125.992431453313</v>
      </c>
      <c r="P544" s="792">
        <f t="shared" si="47"/>
        <v>0</v>
      </c>
    </row>
    <row r="545" spans="3:16">
      <c r="C545" s="788">
        <f>IF(D530="","-",+C544+1)</f>
        <v>2022</v>
      </c>
      <c r="D545" s="736">
        <f t="shared" si="48"/>
        <v>5284020.9214285687</v>
      </c>
      <c r="E545" s="789">
        <f t="shared" si="50"/>
        <v>195704.47857142857</v>
      </c>
      <c r="F545" s="789">
        <f t="shared" si="44"/>
        <v>5088316.4428571397</v>
      </c>
      <c r="G545" s="736">
        <f t="shared" si="49"/>
        <v>5186168.6821428537</v>
      </c>
      <c r="H545" s="794">
        <f>+J531*G545+E545</f>
        <v>945125.72882545728</v>
      </c>
      <c r="I545" s="795">
        <f>+J532*G545+E545</f>
        <v>945125.72882545728</v>
      </c>
      <c r="J545" s="792">
        <f t="shared" si="51"/>
        <v>0</v>
      </c>
      <c r="K545" s="792"/>
      <c r="L545" s="812">
        <v>983958.04121545213</v>
      </c>
      <c r="M545" s="792">
        <f t="shared" si="45"/>
        <v>-38832.312389994855</v>
      </c>
      <c r="N545" s="812">
        <v>983958.04121545213</v>
      </c>
      <c r="O545" s="792">
        <f t="shared" si="46"/>
        <v>-38832.312389994855</v>
      </c>
      <c r="P545" s="792">
        <f t="shared" si="47"/>
        <v>0</v>
      </c>
    </row>
    <row r="546" spans="3:16">
      <c r="C546" s="788">
        <f>IF(D530="","-",+C545+1)</f>
        <v>2023</v>
      </c>
      <c r="D546" s="736">
        <f t="shared" si="48"/>
        <v>5088316.4428571397</v>
      </c>
      <c r="E546" s="789">
        <f t="shared" si="50"/>
        <v>195704.47857142857</v>
      </c>
      <c r="F546" s="789">
        <f t="shared" si="44"/>
        <v>4892611.9642857108</v>
      </c>
      <c r="G546" s="736">
        <f t="shared" si="49"/>
        <v>4990464.2035714258</v>
      </c>
      <c r="H546" s="794">
        <f>+J531*G546+E546</f>
        <v>916845.68164606008</v>
      </c>
      <c r="I546" s="795">
        <f>+J532*G546+E546</f>
        <v>916845.68164606008</v>
      </c>
      <c r="J546" s="792">
        <f t="shared" si="51"/>
        <v>0</v>
      </c>
      <c r="K546" s="792"/>
      <c r="L546" s="812">
        <v>957108.55717782257</v>
      </c>
      <c r="M546" s="792">
        <f t="shared" si="45"/>
        <v>-40262.875531762489</v>
      </c>
      <c r="N546" s="812">
        <v>957108.55717782257</v>
      </c>
      <c r="O546" s="792">
        <f t="shared" si="46"/>
        <v>-40262.875531762489</v>
      </c>
      <c r="P546" s="792">
        <f t="shared" si="47"/>
        <v>0</v>
      </c>
    </row>
    <row r="547" spans="3:16">
      <c r="C547" s="788">
        <f>IF(D530="","-",+C546+1)</f>
        <v>2024</v>
      </c>
      <c r="D547" s="736">
        <f t="shared" si="48"/>
        <v>4892611.9642857108</v>
      </c>
      <c r="E547" s="789">
        <f t="shared" si="50"/>
        <v>195704.47857142857</v>
      </c>
      <c r="F547" s="789">
        <f t="shared" si="44"/>
        <v>4696907.4857142819</v>
      </c>
      <c r="G547" s="736">
        <f t="shared" si="49"/>
        <v>4794759.7249999959</v>
      </c>
      <c r="H547" s="794">
        <f>+J531*G547+E547</f>
        <v>888565.63446666254</v>
      </c>
      <c r="I547" s="795">
        <f>+J532*G547+E547</f>
        <v>888565.63446666254</v>
      </c>
      <c r="J547" s="792">
        <f t="shared" si="51"/>
        <v>0</v>
      </c>
      <c r="K547" s="792"/>
      <c r="L547" s="812"/>
      <c r="M547" s="792">
        <f t="shared" si="45"/>
        <v>0</v>
      </c>
      <c r="N547" s="812"/>
      <c r="O547" s="792">
        <f t="shared" si="46"/>
        <v>0</v>
      </c>
      <c r="P547" s="792">
        <f t="shared" si="47"/>
        <v>0</v>
      </c>
    </row>
    <row r="548" spans="3:16">
      <c r="C548" s="788">
        <f>IF(D530="","-",+C547+1)</f>
        <v>2025</v>
      </c>
      <c r="D548" s="736">
        <f t="shared" si="48"/>
        <v>4696907.4857142819</v>
      </c>
      <c r="E548" s="789">
        <f t="shared" si="50"/>
        <v>195704.47857142857</v>
      </c>
      <c r="F548" s="789">
        <f t="shared" si="44"/>
        <v>4501203.007142853</v>
      </c>
      <c r="G548" s="736">
        <f t="shared" si="49"/>
        <v>4599055.2464285679</v>
      </c>
      <c r="H548" s="794">
        <f>+J531*G548+E548</f>
        <v>860285.58728726534</v>
      </c>
      <c r="I548" s="795">
        <f>+J532*G548+E548</f>
        <v>860285.58728726534</v>
      </c>
      <c r="J548" s="792">
        <f t="shared" si="51"/>
        <v>0</v>
      </c>
      <c r="K548" s="792"/>
      <c r="L548" s="812"/>
      <c r="M548" s="792">
        <f t="shared" si="45"/>
        <v>0</v>
      </c>
      <c r="N548" s="812"/>
      <c r="O548" s="792">
        <f t="shared" si="46"/>
        <v>0</v>
      </c>
      <c r="P548" s="792">
        <f t="shared" si="47"/>
        <v>0</v>
      </c>
    </row>
    <row r="549" spans="3:16">
      <c r="C549" s="788">
        <f>IF(D530="","-",+C548+1)</f>
        <v>2026</v>
      </c>
      <c r="D549" s="736">
        <f t="shared" si="48"/>
        <v>4501203.007142853</v>
      </c>
      <c r="E549" s="789">
        <f t="shared" si="50"/>
        <v>195704.47857142857</v>
      </c>
      <c r="F549" s="789">
        <f t="shared" si="44"/>
        <v>4305498.5285714241</v>
      </c>
      <c r="G549" s="736">
        <f t="shared" si="49"/>
        <v>4403350.7678571381</v>
      </c>
      <c r="H549" s="794">
        <f>+J531*G549+E549</f>
        <v>832005.5401078678</v>
      </c>
      <c r="I549" s="795">
        <f>+J532*G549+E549</f>
        <v>832005.5401078678</v>
      </c>
      <c r="J549" s="792">
        <f t="shared" si="51"/>
        <v>0</v>
      </c>
      <c r="K549" s="792"/>
      <c r="L549" s="812"/>
      <c r="M549" s="792">
        <f t="shared" si="45"/>
        <v>0</v>
      </c>
      <c r="N549" s="812"/>
      <c r="O549" s="792">
        <f t="shared" si="46"/>
        <v>0</v>
      </c>
      <c r="P549" s="792">
        <f t="shared" si="47"/>
        <v>0</v>
      </c>
    </row>
    <row r="550" spans="3:16">
      <c r="C550" s="788">
        <f>IF(D530="","-",+C549+1)</f>
        <v>2027</v>
      </c>
      <c r="D550" s="736">
        <f t="shared" si="48"/>
        <v>4305498.5285714241</v>
      </c>
      <c r="E550" s="789">
        <f t="shared" si="50"/>
        <v>195704.47857142857</v>
      </c>
      <c r="F550" s="789">
        <f t="shared" si="44"/>
        <v>4109794.0499999956</v>
      </c>
      <c r="G550" s="736">
        <f t="shared" si="49"/>
        <v>4207646.2892857101</v>
      </c>
      <c r="H550" s="794">
        <f>+J531*G550+E550</f>
        <v>803725.49292847048</v>
      </c>
      <c r="I550" s="795">
        <f>+J532*G550+E550</f>
        <v>803725.49292847048</v>
      </c>
      <c r="J550" s="792">
        <f t="shared" si="51"/>
        <v>0</v>
      </c>
      <c r="K550" s="792"/>
      <c r="L550" s="812"/>
      <c r="M550" s="792">
        <f t="shared" si="45"/>
        <v>0</v>
      </c>
      <c r="N550" s="812"/>
      <c r="O550" s="792">
        <f t="shared" si="46"/>
        <v>0</v>
      </c>
      <c r="P550" s="792">
        <f t="shared" si="47"/>
        <v>0</v>
      </c>
    </row>
    <row r="551" spans="3:16">
      <c r="C551" s="788">
        <f>IF(D530="","-",+C550+1)</f>
        <v>2028</v>
      </c>
      <c r="D551" s="736">
        <f t="shared" si="48"/>
        <v>4109794.0499999956</v>
      </c>
      <c r="E551" s="789">
        <f t="shared" si="50"/>
        <v>195704.47857142857</v>
      </c>
      <c r="F551" s="789">
        <f t="shared" si="44"/>
        <v>3914089.5714285672</v>
      </c>
      <c r="G551" s="736">
        <f t="shared" si="49"/>
        <v>4011941.8107142812</v>
      </c>
      <c r="H551" s="794">
        <f>+J531*G551+E551</f>
        <v>775445.44574907317</v>
      </c>
      <c r="I551" s="795">
        <f>+J532*G551+E551</f>
        <v>775445.44574907317</v>
      </c>
      <c r="J551" s="792">
        <f t="shared" si="51"/>
        <v>0</v>
      </c>
      <c r="K551" s="792"/>
      <c r="L551" s="812"/>
      <c r="M551" s="792">
        <f t="shared" si="45"/>
        <v>0</v>
      </c>
      <c r="N551" s="812"/>
      <c r="O551" s="792">
        <f t="shared" si="46"/>
        <v>0</v>
      </c>
      <c r="P551" s="792">
        <f t="shared" si="47"/>
        <v>0</v>
      </c>
    </row>
    <row r="552" spans="3:16">
      <c r="C552" s="788">
        <f>IF(D530="","-",+C551+1)</f>
        <v>2029</v>
      </c>
      <c r="D552" s="736">
        <f t="shared" si="48"/>
        <v>3914089.5714285672</v>
      </c>
      <c r="E552" s="789">
        <f t="shared" si="50"/>
        <v>195704.47857142857</v>
      </c>
      <c r="F552" s="789">
        <f t="shared" si="44"/>
        <v>3718385.0928571387</v>
      </c>
      <c r="G552" s="736">
        <f t="shared" si="49"/>
        <v>3816237.3321428532</v>
      </c>
      <c r="H552" s="794">
        <f>+J531*G552+E552</f>
        <v>747165.39856967586</v>
      </c>
      <c r="I552" s="795">
        <f>+J532*G552+E552</f>
        <v>747165.39856967586</v>
      </c>
      <c r="J552" s="792">
        <f t="shared" si="51"/>
        <v>0</v>
      </c>
      <c r="K552" s="792"/>
      <c r="L552" s="812"/>
      <c r="M552" s="792">
        <f t="shared" si="45"/>
        <v>0</v>
      </c>
      <c r="N552" s="812"/>
      <c r="O552" s="792">
        <f t="shared" si="46"/>
        <v>0</v>
      </c>
      <c r="P552" s="792">
        <f t="shared" si="47"/>
        <v>0</v>
      </c>
    </row>
    <row r="553" spans="3:16">
      <c r="C553" s="788">
        <f>IF(D530="","-",+C552+1)</f>
        <v>2030</v>
      </c>
      <c r="D553" s="736">
        <f t="shared" si="48"/>
        <v>3718385.0928571387</v>
      </c>
      <c r="E553" s="789">
        <f t="shared" si="50"/>
        <v>195704.47857142857</v>
      </c>
      <c r="F553" s="789">
        <f t="shared" si="44"/>
        <v>3522680.6142857103</v>
      </c>
      <c r="G553" s="736">
        <f t="shared" si="49"/>
        <v>3620532.8535714243</v>
      </c>
      <c r="H553" s="794">
        <f>+J531*G553+E553</f>
        <v>718885.35139027855</v>
      </c>
      <c r="I553" s="795">
        <f>+J532*G553+E553</f>
        <v>718885.35139027855</v>
      </c>
      <c r="J553" s="792">
        <f t="shared" si="51"/>
        <v>0</v>
      </c>
      <c r="K553" s="792"/>
      <c r="L553" s="812"/>
      <c r="M553" s="792">
        <f t="shared" si="45"/>
        <v>0</v>
      </c>
      <c r="N553" s="812"/>
      <c r="O553" s="792">
        <f t="shared" si="46"/>
        <v>0</v>
      </c>
      <c r="P553" s="792">
        <f t="shared" si="47"/>
        <v>0</v>
      </c>
    </row>
    <row r="554" spans="3:16">
      <c r="C554" s="788">
        <f>IF(D530="","-",+C553+1)</f>
        <v>2031</v>
      </c>
      <c r="D554" s="736">
        <f t="shared" si="48"/>
        <v>3522680.6142857103</v>
      </c>
      <c r="E554" s="789">
        <f t="shared" si="50"/>
        <v>195704.47857142857</v>
      </c>
      <c r="F554" s="789">
        <f t="shared" si="44"/>
        <v>3326976.1357142818</v>
      </c>
      <c r="G554" s="736">
        <f t="shared" si="49"/>
        <v>3424828.3749999963</v>
      </c>
      <c r="H554" s="794">
        <f>+J531*G554+E554</f>
        <v>690605.30421088124</v>
      </c>
      <c r="I554" s="795">
        <f>+J532*G554+E554</f>
        <v>690605.30421088124</v>
      </c>
      <c r="J554" s="792">
        <f t="shared" si="51"/>
        <v>0</v>
      </c>
      <c r="K554" s="792"/>
      <c r="L554" s="812"/>
      <c r="M554" s="792">
        <f t="shared" si="45"/>
        <v>0</v>
      </c>
      <c r="N554" s="812"/>
      <c r="O554" s="792">
        <f t="shared" si="46"/>
        <v>0</v>
      </c>
      <c r="P554" s="792">
        <f t="shared" si="47"/>
        <v>0</v>
      </c>
    </row>
    <row r="555" spans="3:16">
      <c r="C555" s="788">
        <f>IF(D530="","-",+C554+1)</f>
        <v>2032</v>
      </c>
      <c r="D555" s="736">
        <f t="shared" si="48"/>
        <v>3326976.1357142818</v>
      </c>
      <c r="E555" s="789">
        <f t="shared" si="50"/>
        <v>195704.47857142857</v>
      </c>
      <c r="F555" s="789">
        <f t="shared" si="44"/>
        <v>3131271.6571428534</v>
      </c>
      <c r="G555" s="736">
        <f t="shared" si="49"/>
        <v>3229123.8964285674</v>
      </c>
      <c r="H555" s="794">
        <f>+J531*G555+E555</f>
        <v>662325.25703148392</v>
      </c>
      <c r="I555" s="795">
        <f>+J532*G555+E555</f>
        <v>662325.25703148392</v>
      </c>
      <c r="J555" s="792">
        <f t="shared" si="51"/>
        <v>0</v>
      </c>
      <c r="K555" s="792"/>
      <c r="L555" s="812"/>
      <c r="M555" s="792">
        <f t="shared" si="45"/>
        <v>0</v>
      </c>
      <c r="N555" s="812"/>
      <c r="O555" s="792">
        <f t="shared" si="46"/>
        <v>0</v>
      </c>
      <c r="P555" s="792">
        <f t="shared" si="47"/>
        <v>0</v>
      </c>
    </row>
    <row r="556" spans="3:16">
      <c r="C556" s="788">
        <f>IF(D530="","-",+C555+1)</f>
        <v>2033</v>
      </c>
      <c r="D556" s="736">
        <f t="shared" si="48"/>
        <v>3131271.6571428534</v>
      </c>
      <c r="E556" s="789">
        <f t="shared" si="50"/>
        <v>195704.47857142857</v>
      </c>
      <c r="F556" s="789">
        <f t="shared" si="44"/>
        <v>2935567.1785714249</v>
      </c>
      <c r="G556" s="736">
        <f t="shared" si="49"/>
        <v>3033419.4178571394</v>
      </c>
      <c r="H556" s="794">
        <f>+J531*G556+E556</f>
        <v>634045.20985208661</v>
      </c>
      <c r="I556" s="795">
        <f>+J532*G556+E556</f>
        <v>634045.20985208661</v>
      </c>
      <c r="J556" s="792">
        <f t="shared" si="51"/>
        <v>0</v>
      </c>
      <c r="K556" s="792"/>
      <c r="L556" s="812"/>
      <c r="M556" s="792">
        <f t="shared" si="45"/>
        <v>0</v>
      </c>
      <c r="N556" s="812"/>
      <c r="O556" s="792">
        <f t="shared" si="46"/>
        <v>0</v>
      </c>
      <c r="P556" s="792">
        <f t="shared" si="47"/>
        <v>0</v>
      </c>
    </row>
    <row r="557" spans="3:16">
      <c r="C557" s="788">
        <f>IF(D530="","-",+C556+1)</f>
        <v>2034</v>
      </c>
      <c r="D557" s="736">
        <f t="shared" si="48"/>
        <v>2935567.1785714249</v>
      </c>
      <c r="E557" s="789">
        <f t="shared" si="50"/>
        <v>195704.47857142857</v>
      </c>
      <c r="F557" s="789">
        <f t="shared" si="44"/>
        <v>2739862.6999999965</v>
      </c>
      <c r="G557" s="736">
        <f t="shared" si="49"/>
        <v>2837714.9392857105</v>
      </c>
      <c r="H557" s="794">
        <f>+J531*G557+E557</f>
        <v>605765.1626726893</v>
      </c>
      <c r="I557" s="795">
        <f>+J532*G557+E557</f>
        <v>605765.1626726893</v>
      </c>
      <c r="J557" s="792">
        <f t="shared" si="51"/>
        <v>0</v>
      </c>
      <c r="K557" s="792"/>
      <c r="L557" s="812"/>
      <c r="M557" s="792">
        <f t="shared" si="45"/>
        <v>0</v>
      </c>
      <c r="N557" s="812"/>
      <c r="O557" s="792">
        <f t="shared" si="46"/>
        <v>0</v>
      </c>
      <c r="P557" s="792">
        <f t="shared" si="47"/>
        <v>0</v>
      </c>
    </row>
    <row r="558" spans="3:16">
      <c r="C558" s="788">
        <f>IF(D530="","-",+C557+1)</f>
        <v>2035</v>
      </c>
      <c r="D558" s="736">
        <f t="shared" si="48"/>
        <v>2739862.6999999965</v>
      </c>
      <c r="E558" s="789">
        <f t="shared" si="50"/>
        <v>195704.47857142857</v>
      </c>
      <c r="F558" s="789">
        <f t="shared" si="44"/>
        <v>2544158.221428568</v>
      </c>
      <c r="G558" s="736">
        <f t="shared" si="49"/>
        <v>2642010.4607142825</v>
      </c>
      <c r="H558" s="794">
        <f>+J531*G558+E558</f>
        <v>577485.11549329199</v>
      </c>
      <c r="I558" s="795">
        <f>+J532*G558+E558</f>
        <v>577485.11549329199</v>
      </c>
      <c r="J558" s="792">
        <f t="shared" si="51"/>
        <v>0</v>
      </c>
      <c r="K558" s="792"/>
      <c r="L558" s="812"/>
      <c r="M558" s="792">
        <f t="shared" si="45"/>
        <v>0</v>
      </c>
      <c r="N558" s="812"/>
      <c r="O558" s="792">
        <f t="shared" si="46"/>
        <v>0</v>
      </c>
      <c r="P558" s="792">
        <f t="shared" si="47"/>
        <v>0</v>
      </c>
    </row>
    <row r="559" spans="3:16">
      <c r="C559" s="788">
        <f>IF(D530="","-",+C558+1)</f>
        <v>2036</v>
      </c>
      <c r="D559" s="736">
        <f t="shared" si="48"/>
        <v>2544158.221428568</v>
      </c>
      <c r="E559" s="789">
        <f t="shared" si="50"/>
        <v>195704.47857142857</v>
      </c>
      <c r="F559" s="789">
        <f t="shared" si="44"/>
        <v>2348453.7428571396</v>
      </c>
      <c r="G559" s="736">
        <f t="shared" si="49"/>
        <v>2446305.9821428536</v>
      </c>
      <c r="H559" s="794">
        <f>+J531*G559+E559</f>
        <v>549205.06831389468</v>
      </c>
      <c r="I559" s="795">
        <f>+J532*G559+E559</f>
        <v>549205.06831389468</v>
      </c>
      <c r="J559" s="792">
        <f t="shared" si="51"/>
        <v>0</v>
      </c>
      <c r="K559" s="792"/>
      <c r="L559" s="812"/>
      <c r="M559" s="792">
        <f t="shared" si="45"/>
        <v>0</v>
      </c>
      <c r="N559" s="812"/>
      <c r="O559" s="792">
        <f t="shared" si="46"/>
        <v>0</v>
      </c>
      <c r="P559" s="792">
        <f t="shared" si="47"/>
        <v>0</v>
      </c>
    </row>
    <row r="560" spans="3:16">
      <c r="C560" s="788">
        <f>IF(D530="","-",+C559+1)</f>
        <v>2037</v>
      </c>
      <c r="D560" s="736">
        <f t="shared" si="48"/>
        <v>2348453.7428571396</v>
      </c>
      <c r="E560" s="789">
        <f t="shared" si="50"/>
        <v>195704.47857142857</v>
      </c>
      <c r="F560" s="789">
        <f t="shared" si="44"/>
        <v>2152749.2642857111</v>
      </c>
      <c r="G560" s="736">
        <f t="shared" si="49"/>
        <v>2250601.5035714256</v>
      </c>
      <c r="H560" s="794">
        <f>+J531*G560+E560</f>
        <v>520925.02113449742</v>
      </c>
      <c r="I560" s="795">
        <f>+J532*G560+E560</f>
        <v>520925.02113449742</v>
      </c>
      <c r="J560" s="792">
        <f t="shared" si="51"/>
        <v>0</v>
      </c>
      <c r="K560" s="792"/>
      <c r="L560" s="812"/>
      <c r="M560" s="792">
        <f t="shared" si="45"/>
        <v>0</v>
      </c>
      <c r="N560" s="812"/>
      <c r="O560" s="792">
        <f t="shared" si="46"/>
        <v>0</v>
      </c>
      <c r="P560" s="792">
        <f t="shared" si="47"/>
        <v>0</v>
      </c>
    </row>
    <row r="561" spans="3:16">
      <c r="C561" s="788">
        <f>IF(D530="","-",+C560+1)</f>
        <v>2038</v>
      </c>
      <c r="D561" s="736">
        <f t="shared" si="48"/>
        <v>2152749.2642857111</v>
      </c>
      <c r="E561" s="789">
        <f t="shared" si="50"/>
        <v>195704.47857142857</v>
      </c>
      <c r="F561" s="789">
        <f t="shared" si="44"/>
        <v>1957044.7857142827</v>
      </c>
      <c r="G561" s="736">
        <f t="shared" si="49"/>
        <v>2054897.0249999969</v>
      </c>
      <c r="H561" s="794">
        <f>+J531*G561+E561</f>
        <v>492644.97395510005</v>
      </c>
      <c r="I561" s="795">
        <f>+J532*G561+E561</f>
        <v>492644.97395510005</v>
      </c>
      <c r="J561" s="792">
        <f t="shared" si="51"/>
        <v>0</v>
      </c>
      <c r="K561" s="792"/>
      <c r="L561" s="812"/>
      <c r="M561" s="792">
        <f t="shared" si="45"/>
        <v>0</v>
      </c>
      <c r="N561" s="812"/>
      <c r="O561" s="792">
        <f t="shared" si="46"/>
        <v>0</v>
      </c>
      <c r="P561" s="792">
        <f t="shared" si="47"/>
        <v>0</v>
      </c>
    </row>
    <row r="562" spans="3:16">
      <c r="C562" s="788">
        <f>IF(D530="","-",+C561+1)</f>
        <v>2039</v>
      </c>
      <c r="D562" s="736">
        <f t="shared" si="48"/>
        <v>1957044.7857142827</v>
      </c>
      <c r="E562" s="789">
        <f t="shared" si="50"/>
        <v>195704.47857142857</v>
      </c>
      <c r="F562" s="789">
        <f t="shared" si="44"/>
        <v>1761340.3071428542</v>
      </c>
      <c r="G562" s="736">
        <f t="shared" si="49"/>
        <v>1859192.5464285684</v>
      </c>
      <c r="H562" s="794">
        <f>+J531*G562+E562</f>
        <v>464364.92677570274</v>
      </c>
      <c r="I562" s="795">
        <f>+J532*G562+E562</f>
        <v>464364.92677570274</v>
      </c>
      <c r="J562" s="792">
        <f t="shared" si="51"/>
        <v>0</v>
      </c>
      <c r="K562" s="792"/>
      <c r="L562" s="812"/>
      <c r="M562" s="792">
        <f t="shared" si="45"/>
        <v>0</v>
      </c>
      <c r="N562" s="812"/>
      <c r="O562" s="792">
        <f t="shared" si="46"/>
        <v>0</v>
      </c>
      <c r="P562" s="792">
        <f t="shared" si="47"/>
        <v>0</v>
      </c>
    </row>
    <row r="563" spans="3:16">
      <c r="C563" s="788">
        <f>IF(D530="","-",+C562+1)</f>
        <v>2040</v>
      </c>
      <c r="D563" s="736">
        <f t="shared" si="48"/>
        <v>1761340.3071428542</v>
      </c>
      <c r="E563" s="789">
        <f t="shared" si="50"/>
        <v>195704.47857142857</v>
      </c>
      <c r="F563" s="789">
        <f t="shared" si="44"/>
        <v>1565635.8285714258</v>
      </c>
      <c r="G563" s="736">
        <f t="shared" si="49"/>
        <v>1663488.06785714</v>
      </c>
      <c r="H563" s="794">
        <f>+J531*G563+E563</f>
        <v>436084.87959630543</v>
      </c>
      <c r="I563" s="795">
        <f>+J532*G563+E563</f>
        <v>436084.87959630543</v>
      </c>
      <c r="J563" s="792">
        <f t="shared" si="51"/>
        <v>0</v>
      </c>
      <c r="K563" s="792"/>
      <c r="L563" s="812"/>
      <c r="M563" s="792">
        <f t="shared" si="45"/>
        <v>0</v>
      </c>
      <c r="N563" s="812"/>
      <c r="O563" s="792">
        <f t="shared" si="46"/>
        <v>0</v>
      </c>
      <c r="P563" s="792">
        <f t="shared" si="47"/>
        <v>0</v>
      </c>
    </row>
    <row r="564" spans="3:16">
      <c r="C564" s="788">
        <f>IF(D530="","-",+C563+1)</f>
        <v>2041</v>
      </c>
      <c r="D564" s="736">
        <f t="shared" si="48"/>
        <v>1565635.8285714258</v>
      </c>
      <c r="E564" s="789">
        <f t="shared" si="50"/>
        <v>195704.47857142857</v>
      </c>
      <c r="F564" s="789">
        <f t="shared" si="44"/>
        <v>1369931.3499999973</v>
      </c>
      <c r="G564" s="736">
        <f t="shared" si="49"/>
        <v>1467783.5892857115</v>
      </c>
      <c r="H564" s="794">
        <f>+J531*G564+E564</f>
        <v>407804.83241690812</v>
      </c>
      <c r="I564" s="795">
        <f>+J532*G564+E564</f>
        <v>407804.83241690812</v>
      </c>
      <c r="J564" s="792">
        <f t="shared" si="51"/>
        <v>0</v>
      </c>
      <c r="K564" s="792"/>
      <c r="L564" s="812"/>
      <c r="M564" s="792">
        <f t="shared" si="45"/>
        <v>0</v>
      </c>
      <c r="N564" s="812"/>
      <c r="O564" s="792">
        <f t="shared" si="46"/>
        <v>0</v>
      </c>
      <c r="P564" s="792">
        <f t="shared" si="47"/>
        <v>0</v>
      </c>
    </row>
    <row r="565" spans="3:16">
      <c r="C565" s="788">
        <f>IF(D530="","-",+C564+1)</f>
        <v>2042</v>
      </c>
      <c r="D565" s="736">
        <f t="shared" si="48"/>
        <v>1369931.3499999973</v>
      </c>
      <c r="E565" s="789">
        <f t="shared" si="50"/>
        <v>195704.47857142857</v>
      </c>
      <c r="F565" s="789">
        <f t="shared" si="44"/>
        <v>1174226.8714285688</v>
      </c>
      <c r="G565" s="736">
        <f t="shared" si="49"/>
        <v>1272079.1107142831</v>
      </c>
      <c r="H565" s="794">
        <f>+J531*G565+E565</f>
        <v>379524.78523751081</v>
      </c>
      <c r="I565" s="795">
        <f>+J532*G565+E565</f>
        <v>379524.78523751081</v>
      </c>
      <c r="J565" s="792">
        <f t="shared" si="51"/>
        <v>0</v>
      </c>
      <c r="K565" s="792"/>
      <c r="L565" s="812"/>
      <c r="M565" s="792">
        <f t="shared" si="45"/>
        <v>0</v>
      </c>
      <c r="N565" s="812"/>
      <c r="O565" s="792">
        <f t="shared" si="46"/>
        <v>0</v>
      </c>
      <c r="P565" s="792">
        <f t="shared" si="47"/>
        <v>0</v>
      </c>
    </row>
    <row r="566" spans="3:16">
      <c r="C566" s="788">
        <f>IF(D530="","-",+C565+1)</f>
        <v>2043</v>
      </c>
      <c r="D566" s="736">
        <f t="shared" si="48"/>
        <v>1174226.8714285688</v>
      </c>
      <c r="E566" s="789">
        <f t="shared" si="50"/>
        <v>195704.47857142857</v>
      </c>
      <c r="F566" s="789">
        <f t="shared" si="44"/>
        <v>978522.39285714028</v>
      </c>
      <c r="G566" s="736">
        <f t="shared" si="49"/>
        <v>1076374.6321428546</v>
      </c>
      <c r="H566" s="794">
        <f>+J531*G566+E566</f>
        <v>351244.73805811349</v>
      </c>
      <c r="I566" s="795">
        <f>+J532*G566+E566</f>
        <v>351244.73805811349</v>
      </c>
      <c r="J566" s="792">
        <f t="shared" si="51"/>
        <v>0</v>
      </c>
      <c r="K566" s="792"/>
      <c r="L566" s="812"/>
      <c r="M566" s="792">
        <f t="shared" si="45"/>
        <v>0</v>
      </c>
      <c r="N566" s="812"/>
      <c r="O566" s="792">
        <f t="shared" si="46"/>
        <v>0</v>
      </c>
      <c r="P566" s="792">
        <f t="shared" si="47"/>
        <v>0</v>
      </c>
    </row>
    <row r="567" spans="3:16">
      <c r="C567" s="788">
        <f>IF(D530="","-",+C566+1)</f>
        <v>2044</v>
      </c>
      <c r="D567" s="736">
        <f t="shared" si="48"/>
        <v>978522.39285714028</v>
      </c>
      <c r="E567" s="789">
        <f t="shared" si="50"/>
        <v>195704.47857142857</v>
      </c>
      <c r="F567" s="789">
        <f t="shared" si="44"/>
        <v>782817.91428571171</v>
      </c>
      <c r="G567" s="736">
        <f t="shared" si="49"/>
        <v>880670.15357142594</v>
      </c>
      <c r="H567" s="794">
        <f>+J531*G567+E567</f>
        <v>322964.69087871618</v>
      </c>
      <c r="I567" s="795">
        <f>+J532*G567+E567</f>
        <v>322964.69087871618</v>
      </c>
      <c r="J567" s="792">
        <f t="shared" si="51"/>
        <v>0</v>
      </c>
      <c r="K567" s="792"/>
      <c r="L567" s="812"/>
      <c r="M567" s="792">
        <f t="shared" si="45"/>
        <v>0</v>
      </c>
      <c r="N567" s="812"/>
      <c r="O567" s="792">
        <f t="shared" si="46"/>
        <v>0</v>
      </c>
      <c r="P567" s="792">
        <f t="shared" si="47"/>
        <v>0</v>
      </c>
    </row>
    <row r="568" spans="3:16">
      <c r="C568" s="788">
        <f>IF(D530="","-",+C567+1)</f>
        <v>2045</v>
      </c>
      <c r="D568" s="736">
        <f t="shared" si="48"/>
        <v>782817.91428571171</v>
      </c>
      <c r="E568" s="789">
        <f t="shared" si="50"/>
        <v>195704.47857142857</v>
      </c>
      <c r="F568" s="789">
        <f t="shared" si="44"/>
        <v>587113.43571428314</v>
      </c>
      <c r="G568" s="736">
        <f t="shared" si="49"/>
        <v>684965.67499999749</v>
      </c>
      <c r="H568" s="794">
        <f>+J531*G568+E568</f>
        <v>294684.64369931887</v>
      </c>
      <c r="I568" s="795">
        <f>+J532*G568+E568</f>
        <v>294684.64369931887</v>
      </c>
      <c r="J568" s="792">
        <f t="shared" si="51"/>
        <v>0</v>
      </c>
      <c r="K568" s="792"/>
      <c r="L568" s="812"/>
      <c r="M568" s="792">
        <f t="shared" si="45"/>
        <v>0</v>
      </c>
      <c r="N568" s="812"/>
      <c r="O568" s="792">
        <f t="shared" si="46"/>
        <v>0</v>
      </c>
      <c r="P568" s="792">
        <f t="shared" si="47"/>
        <v>0</v>
      </c>
    </row>
    <row r="569" spans="3:16">
      <c r="C569" s="788">
        <f>IF(D530="","-",+C568+1)</f>
        <v>2046</v>
      </c>
      <c r="D569" s="736">
        <f t="shared" si="48"/>
        <v>587113.43571428314</v>
      </c>
      <c r="E569" s="789">
        <f t="shared" si="50"/>
        <v>195704.47857142857</v>
      </c>
      <c r="F569" s="789">
        <f t="shared" si="44"/>
        <v>391408.95714285458</v>
      </c>
      <c r="G569" s="736">
        <f t="shared" si="49"/>
        <v>489261.19642856886</v>
      </c>
      <c r="H569" s="794">
        <f>+J531*G569+E569</f>
        <v>266404.5965199215</v>
      </c>
      <c r="I569" s="795">
        <f>+J532*G569+E569</f>
        <v>266404.5965199215</v>
      </c>
      <c r="J569" s="792">
        <f t="shared" si="51"/>
        <v>0</v>
      </c>
      <c r="K569" s="792"/>
      <c r="L569" s="812"/>
      <c r="M569" s="792">
        <f t="shared" si="45"/>
        <v>0</v>
      </c>
      <c r="N569" s="812"/>
      <c r="O569" s="792">
        <f t="shared" si="46"/>
        <v>0</v>
      </c>
      <c r="P569" s="792">
        <f t="shared" si="47"/>
        <v>0</v>
      </c>
    </row>
    <row r="570" spans="3:16">
      <c r="C570" s="788">
        <f>IF(D530="","-",+C569+1)</f>
        <v>2047</v>
      </c>
      <c r="D570" s="736">
        <f t="shared" si="48"/>
        <v>391408.95714285458</v>
      </c>
      <c r="E570" s="789">
        <f t="shared" si="50"/>
        <v>195704.47857142857</v>
      </c>
      <c r="F570" s="789">
        <f t="shared" si="44"/>
        <v>195704.47857142601</v>
      </c>
      <c r="G570" s="736">
        <f t="shared" si="49"/>
        <v>293556.71785714029</v>
      </c>
      <c r="H570" s="794">
        <f>+J531*G570+E570</f>
        <v>238124.54934052419</v>
      </c>
      <c r="I570" s="795">
        <f>+J532*G570+E570</f>
        <v>238124.54934052419</v>
      </c>
      <c r="J570" s="792">
        <f t="shared" si="51"/>
        <v>0</v>
      </c>
      <c r="K570" s="792"/>
      <c r="L570" s="812"/>
      <c r="M570" s="792">
        <f t="shared" si="45"/>
        <v>0</v>
      </c>
      <c r="N570" s="812"/>
      <c r="O570" s="792">
        <f t="shared" si="46"/>
        <v>0</v>
      </c>
      <c r="P570" s="792">
        <f t="shared" si="47"/>
        <v>0</v>
      </c>
    </row>
    <row r="571" spans="3:16">
      <c r="C571" s="788">
        <f>IF(D530="","-",+C570+1)</f>
        <v>2048</v>
      </c>
      <c r="D571" s="736">
        <f t="shared" si="48"/>
        <v>195704.47857142601</v>
      </c>
      <c r="E571" s="789">
        <f t="shared" si="50"/>
        <v>195704.47857142601</v>
      </c>
      <c r="F571" s="789">
        <f t="shared" si="44"/>
        <v>0</v>
      </c>
      <c r="G571" s="736">
        <f t="shared" si="49"/>
        <v>97852.239285713003</v>
      </c>
      <c r="H571" s="794">
        <f>+J531*G571+E571</f>
        <v>209844.50216112449</v>
      </c>
      <c r="I571" s="795">
        <f>+J532*G571+E571</f>
        <v>209844.50216112449</v>
      </c>
      <c r="J571" s="792">
        <f t="shared" si="51"/>
        <v>0</v>
      </c>
      <c r="K571" s="792"/>
      <c r="L571" s="812"/>
      <c r="M571" s="792">
        <f t="shared" si="45"/>
        <v>0</v>
      </c>
      <c r="N571" s="812"/>
      <c r="O571" s="792">
        <f t="shared" si="46"/>
        <v>0</v>
      </c>
      <c r="P571" s="792">
        <f t="shared" si="47"/>
        <v>0</v>
      </c>
    </row>
    <row r="572" spans="3:16">
      <c r="C572" s="788">
        <f>IF(D530="","-",+C571+1)</f>
        <v>2049</v>
      </c>
      <c r="D572" s="736">
        <f t="shared" si="48"/>
        <v>0</v>
      </c>
      <c r="E572" s="789">
        <f t="shared" si="50"/>
        <v>0</v>
      </c>
      <c r="F572" s="789">
        <f t="shared" si="44"/>
        <v>0</v>
      </c>
      <c r="G572" s="736">
        <f t="shared" si="49"/>
        <v>0</v>
      </c>
      <c r="H572" s="794">
        <f>+J531*G572+E572</f>
        <v>0</v>
      </c>
      <c r="I572" s="795">
        <f>+J532*G572+E572</f>
        <v>0</v>
      </c>
      <c r="J572" s="792">
        <f t="shared" si="51"/>
        <v>0</v>
      </c>
      <c r="K572" s="792"/>
      <c r="L572" s="812"/>
      <c r="M572" s="792">
        <f t="shared" si="45"/>
        <v>0</v>
      </c>
      <c r="N572" s="812"/>
      <c r="O572" s="792">
        <f t="shared" si="46"/>
        <v>0</v>
      </c>
      <c r="P572" s="792">
        <f t="shared" si="47"/>
        <v>0</v>
      </c>
    </row>
    <row r="573" spans="3:16">
      <c r="C573" s="788">
        <f>IF(D530="","-",+C572+1)</f>
        <v>2050</v>
      </c>
      <c r="D573" s="736">
        <f t="shared" si="48"/>
        <v>0</v>
      </c>
      <c r="E573" s="789">
        <f t="shared" si="50"/>
        <v>0</v>
      </c>
      <c r="F573" s="789">
        <f t="shared" si="44"/>
        <v>0</v>
      </c>
      <c r="G573" s="736">
        <f t="shared" si="49"/>
        <v>0</v>
      </c>
      <c r="H573" s="794">
        <f>+J531*G573+E573</f>
        <v>0</v>
      </c>
      <c r="I573" s="795">
        <f>+J532*G573+E573</f>
        <v>0</v>
      </c>
      <c r="J573" s="792">
        <f t="shared" si="51"/>
        <v>0</v>
      </c>
      <c r="K573" s="792"/>
      <c r="L573" s="812"/>
      <c r="M573" s="792">
        <f t="shared" si="45"/>
        <v>0</v>
      </c>
      <c r="N573" s="812"/>
      <c r="O573" s="792">
        <f t="shared" si="46"/>
        <v>0</v>
      </c>
      <c r="P573" s="792">
        <f t="shared" si="47"/>
        <v>0</v>
      </c>
    </row>
    <row r="574" spans="3:16">
      <c r="C574" s="788">
        <f>IF(D530="","-",+C573+1)</f>
        <v>2051</v>
      </c>
      <c r="D574" s="736">
        <f t="shared" si="48"/>
        <v>0</v>
      </c>
      <c r="E574" s="789">
        <f t="shared" si="50"/>
        <v>0</v>
      </c>
      <c r="F574" s="789">
        <f t="shared" si="44"/>
        <v>0</v>
      </c>
      <c r="G574" s="736">
        <f t="shared" si="49"/>
        <v>0</v>
      </c>
      <c r="H574" s="794">
        <f>+J531*G574+E574</f>
        <v>0</v>
      </c>
      <c r="I574" s="795">
        <f>+J532*G574+E574</f>
        <v>0</v>
      </c>
      <c r="J574" s="792">
        <f t="shared" si="51"/>
        <v>0</v>
      </c>
      <c r="K574" s="792"/>
      <c r="L574" s="812"/>
      <c r="M574" s="792">
        <f t="shared" si="45"/>
        <v>0</v>
      </c>
      <c r="N574" s="812"/>
      <c r="O574" s="792">
        <f t="shared" si="46"/>
        <v>0</v>
      </c>
      <c r="P574" s="792">
        <f t="shared" si="47"/>
        <v>0</v>
      </c>
    </row>
    <row r="575" spans="3:16">
      <c r="C575" s="788">
        <f>IF(D530="","-",+C574+1)</f>
        <v>2052</v>
      </c>
      <c r="D575" s="736">
        <f t="shared" si="48"/>
        <v>0</v>
      </c>
      <c r="E575" s="789">
        <f t="shared" si="50"/>
        <v>0</v>
      </c>
      <c r="F575" s="789">
        <f t="shared" si="44"/>
        <v>0</v>
      </c>
      <c r="G575" s="736">
        <f t="shared" si="49"/>
        <v>0</v>
      </c>
      <c r="H575" s="794">
        <f>+J531*G575+E575</f>
        <v>0</v>
      </c>
      <c r="I575" s="795">
        <f>+J532*G575+E575</f>
        <v>0</v>
      </c>
      <c r="J575" s="792">
        <f t="shared" si="51"/>
        <v>0</v>
      </c>
      <c r="K575" s="792"/>
      <c r="L575" s="812"/>
      <c r="M575" s="792">
        <f t="shared" si="45"/>
        <v>0</v>
      </c>
      <c r="N575" s="812"/>
      <c r="O575" s="792">
        <f t="shared" si="46"/>
        <v>0</v>
      </c>
      <c r="P575" s="792">
        <f t="shared" si="47"/>
        <v>0</v>
      </c>
    </row>
    <row r="576" spans="3:16">
      <c r="C576" s="788">
        <f>IF(D530="","-",+C575+1)</f>
        <v>2053</v>
      </c>
      <c r="D576" s="736">
        <f t="shared" si="48"/>
        <v>0</v>
      </c>
      <c r="E576" s="789">
        <f t="shared" si="50"/>
        <v>0</v>
      </c>
      <c r="F576" s="789">
        <f t="shared" si="44"/>
        <v>0</v>
      </c>
      <c r="G576" s="736">
        <f t="shared" si="49"/>
        <v>0</v>
      </c>
      <c r="H576" s="794">
        <f>+J531*G576+E576</f>
        <v>0</v>
      </c>
      <c r="I576" s="795">
        <f>+J532*G576+E576</f>
        <v>0</v>
      </c>
      <c r="J576" s="792">
        <f t="shared" si="51"/>
        <v>0</v>
      </c>
      <c r="K576" s="792"/>
      <c r="L576" s="812"/>
      <c r="M576" s="792">
        <f t="shared" si="45"/>
        <v>0</v>
      </c>
      <c r="N576" s="812"/>
      <c r="O576" s="792">
        <f t="shared" si="46"/>
        <v>0</v>
      </c>
      <c r="P576" s="792">
        <f t="shared" si="47"/>
        <v>0</v>
      </c>
    </row>
    <row r="577" spans="3:16">
      <c r="C577" s="788">
        <f>IF(D530="","-",+C576+1)</f>
        <v>2054</v>
      </c>
      <c r="D577" s="736">
        <f t="shared" si="48"/>
        <v>0</v>
      </c>
      <c r="E577" s="789">
        <f t="shared" si="50"/>
        <v>0</v>
      </c>
      <c r="F577" s="789">
        <f t="shared" si="44"/>
        <v>0</v>
      </c>
      <c r="G577" s="736">
        <f t="shared" si="49"/>
        <v>0</v>
      </c>
      <c r="H577" s="794">
        <f>+J531*G577+E577</f>
        <v>0</v>
      </c>
      <c r="I577" s="795">
        <f>+J532*G577+E577</f>
        <v>0</v>
      </c>
      <c r="J577" s="792">
        <f t="shared" si="51"/>
        <v>0</v>
      </c>
      <c r="K577" s="792"/>
      <c r="L577" s="812"/>
      <c r="M577" s="792">
        <f t="shared" si="45"/>
        <v>0</v>
      </c>
      <c r="N577" s="812"/>
      <c r="O577" s="792">
        <f t="shared" si="46"/>
        <v>0</v>
      </c>
      <c r="P577" s="792">
        <f t="shared" si="47"/>
        <v>0</v>
      </c>
    </row>
    <row r="578" spans="3:16">
      <c r="C578" s="788">
        <f>IF(D530="","-",+C577+1)</f>
        <v>2055</v>
      </c>
      <c r="D578" s="736">
        <f t="shared" si="48"/>
        <v>0</v>
      </c>
      <c r="E578" s="789">
        <f t="shared" si="50"/>
        <v>0</v>
      </c>
      <c r="F578" s="789">
        <f t="shared" si="44"/>
        <v>0</v>
      </c>
      <c r="G578" s="736">
        <f t="shared" si="49"/>
        <v>0</v>
      </c>
      <c r="H578" s="794">
        <f>+J531*G578+E578</f>
        <v>0</v>
      </c>
      <c r="I578" s="795">
        <f>+J532*G578+E578</f>
        <v>0</v>
      </c>
      <c r="J578" s="792">
        <f t="shared" si="51"/>
        <v>0</v>
      </c>
      <c r="K578" s="792"/>
      <c r="L578" s="812"/>
      <c r="M578" s="792">
        <f t="shared" si="45"/>
        <v>0</v>
      </c>
      <c r="N578" s="812"/>
      <c r="O578" s="792">
        <f t="shared" si="46"/>
        <v>0</v>
      </c>
      <c r="P578" s="792">
        <f t="shared" si="47"/>
        <v>0</v>
      </c>
    </row>
    <row r="579" spans="3:16">
      <c r="C579" s="788">
        <f>IF(D530="","-",+C578+1)</f>
        <v>2056</v>
      </c>
      <c r="D579" s="736">
        <f t="shared" si="48"/>
        <v>0</v>
      </c>
      <c r="E579" s="789">
        <f t="shared" si="50"/>
        <v>0</v>
      </c>
      <c r="F579" s="789">
        <f t="shared" si="44"/>
        <v>0</v>
      </c>
      <c r="G579" s="736">
        <f t="shared" si="49"/>
        <v>0</v>
      </c>
      <c r="H579" s="794">
        <f>+J531*G579+E579</f>
        <v>0</v>
      </c>
      <c r="I579" s="795">
        <f>+J532*G579+E579</f>
        <v>0</v>
      </c>
      <c r="J579" s="792">
        <f t="shared" si="51"/>
        <v>0</v>
      </c>
      <c r="K579" s="792"/>
      <c r="L579" s="812"/>
      <c r="M579" s="792">
        <f t="shared" si="45"/>
        <v>0</v>
      </c>
      <c r="N579" s="812"/>
      <c r="O579" s="792">
        <f t="shared" si="46"/>
        <v>0</v>
      </c>
      <c r="P579" s="792">
        <f t="shared" si="47"/>
        <v>0</v>
      </c>
    </row>
    <row r="580" spans="3:16">
      <c r="C580" s="788">
        <f>IF(D530="","-",+C579+1)</f>
        <v>2057</v>
      </c>
      <c r="D580" s="736">
        <f t="shared" si="48"/>
        <v>0</v>
      </c>
      <c r="E580" s="789">
        <f t="shared" si="50"/>
        <v>0</v>
      </c>
      <c r="F580" s="789">
        <f t="shared" si="44"/>
        <v>0</v>
      </c>
      <c r="G580" s="736">
        <f t="shared" si="49"/>
        <v>0</v>
      </c>
      <c r="H580" s="794">
        <f>+J531*G580+E580</f>
        <v>0</v>
      </c>
      <c r="I580" s="795">
        <f>+J532*G580+E580</f>
        <v>0</v>
      </c>
      <c r="J580" s="792">
        <f t="shared" si="51"/>
        <v>0</v>
      </c>
      <c r="K580" s="792"/>
      <c r="L580" s="812"/>
      <c r="M580" s="792">
        <f t="shared" si="45"/>
        <v>0</v>
      </c>
      <c r="N580" s="812"/>
      <c r="O580" s="792">
        <f t="shared" si="46"/>
        <v>0</v>
      </c>
      <c r="P580" s="792">
        <f t="shared" si="47"/>
        <v>0</v>
      </c>
    </row>
    <row r="581" spans="3:16">
      <c r="C581" s="788">
        <f>IF(D530="","-",+C580+1)</f>
        <v>2058</v>
      </c>
      <c r="D581" s="736">
        <f t="shared" si="48"/>
        <v>0</v>
      </c>
      <c r="E581" s="789">
        <f t="shared" si="50"/>
        <v>0</v>
      </c>
      <c r="F581" s="789">
        <f t="shared" si="44"/>
        <v>0</v>
      </c>
      <c r="G581" s="736">
        <f t="shared" si="49"/>
        <v>0</v>
      </c>
      <c r="H581" s="794">
        <f>+J531*G581+E581</f>
        <v>0</v>
      </c>
      <c r="I581" s="795">
        <f>+J532*G581+E581</f>
        <v>0</v>
      </c>
      <c r="J581" s="792">
        <f t="shared" si="51"/>
        <v>0</v>
      </c>
      <c r="K581" s="792"/>
      <c r="L581" s="812"/>
      <c r="M581" s="792">
        <f t="shared" si="45"/>
        <v>0</v>
      </c>
      <c r="N581" s="812"/>
      <c r="O581" s="792">
        <f t="shared" si="46"/>
        <v>0</v>
      </c>
      <c r="P581" s="792">
        <f t="shared" si="47"/>
        <v>0</v>
      </c>
    </row>
    <row r="582" spans="3:16">
      <c r="C582" s="788">
        <f>IF(D530="","-",+C581+1)</f>
        <v>2059</v>
      </c>
      <c r="D582" s="736">
        <f t="shared" si="48"/>
        <v>0</v>
      </c>
      <c r="E582" s="789">
        <f t="shared" si="50"/>
        <v>0</v>
      </c>
      <c r="F582" s="789">
        <f t="shared" si="44"/>
        <v>0</v>
      </c>
      <c r="G582" s="736">
        <f t="shared" si="49"/>
        <v>0</v>
      </c>
      <c r="H582" s="794">
        <f>+J531*G582+E582</f>
        <v>0</v>
      </c>
      <c r="I582" s="795">
        <f>+J532*G582+E582</f>
        <v>0</v>
      </c>
      <c r="J582" s="792">
        <f t="shared" si="51"/>
        <v>0</v>
      </c>
      <c r="K582" s="792"/>
      <c r="L582" s="812"/>
      <c r="M582" s="792">
        <f t="shared" si="45"/>
        <v>0</v>
      </c>
      <c r="N582" s="812"/>
      <c r="O582" s="792">
        <f t="shared" si="46"/>
        <v>0</v>
      </c>
      <c r="P582" s="792">
        <f t="shared" si="47"/>
        <v>0</v>
      </c>
    </row>
    <row r="583" spans="3:16">
      <c r="C583" s="788">
        <f>IF(D530="","-",+C582+1)</f>
        <v>2060</v>
      </c>
      <c r="D583" s="736">
        <f t="shared" si="48"/>
        <v>0</v>
      </c>
      <c r="E583" s="789">
        <f t="shared" si="50"/>
        <v>0</v>
      </c>
      <c r="F583" s="789">
        <f t="shared" si="44"/>
        <v>0</v>
      </c>
      <c r="G583" s="736">
        <f t="shared" si="49"/>
        <v>0</v>
      </c>
      <c r="H583" s="794">
        <f>+J531*G583+E583</f>
        <v>0</v>
      </c>
      <c r="I583" s="795">
        <f>+J532*G583+E583</f>
        <v>0</v>
      </c>
      <c r="J583" s="792">
        <f t="shared" si="51"/>
        <v>0</v>
      </c>
      <c r="K583" s="792"/>
      <c r="L583" s="812"/>
      <c r="M583" s="792">
        <f t="shared" si="45"/>
        <v>0</v>
      </c>
      <c r="N583" s="812"/>
      <c r="O583" s="792">
        <f t="shared" si="46"/>
        <v>0</v>
      </c>
      <c r="P583" s="792">
        <f t="shared" si="47"/>
        <v>0</v>
      </c>
    </row>
    <row r="584" spans="3:16">
      <c r="C584" s="788">
        <f>IF(D530="","-",+C583+1)</f>
        <v>2061</v>
      </c>
      <c r="D584" s="736">
        <f t="shared" si="48"/>
        <v>0</v>
      </c>
      <c r="E584" s="789">
        <f t="shared" si="50"/>
        <v>0</v>
      </c>
      <c r="F584" s="789">
        <f t="shared" si="44"/>
        <v>0</v>
      </c>
      <c r="G584" s="736">
        <f t="shared" si="49"/>
        <v>0</v>
      </c>
      <c r="H584" s="794">
        <f>+J531*G584+E584</f>
        <v>0</v>
      </c>
      <c r="I584" s="795">
        <f>+J532*G584+E584</f>
        <v>0</v>
      </c>
      <c r="J584" s="792">
        <f t="shared" si="51"/>
        <v>0</v>
      </c>
      <c r="K584" s="792"/>
      <c r="L584" s="812"/>
      <c r="M584" s="792">
        <f t="shared" si="45"/>
        <v>0</v>
      </c>
      <c r="N584" s="812"/>
      <c r="O584" s="792">
        <f t="shared" si="46"/>
        <v>0</v>
      </c>
      <c r="P584" s="792">
        <f t="shared" si="47"/>
        <v>0</v>
      </c>
    </row>
    <row r="585" spans="3:16">
      <c r="C585" s="788">
        <f>IF(D530="","-",+C584+1)</f>
        <v>2062</v>
      </c>
      <c r="D585" s="736">
        <f t="shared" si="48"/>
        <v>0</v>
      </c>
      <c r="E585" s="789">
        <f t="shared" si="50"/>
        <v>0</v>
      </c>
      <c r="F585" s="789">
        <f t="shared" si="44"/>
        <v>0</v>
      </c>
      <c r="G585" s="736">
        <f t="shared" si="49"/>
        <v>0</v>
      </c>
      <c r="H585" s="794">
        <f>+J531*G585+E585</f>
        <v>0</v>
      </c>
      <c r="I585" s="795">
        <f>+J532*G585+E585</f>
        <v>0</v>
      </c>
      <c r="J585" s="792">
        <f t="shared" si="51"/>
        <v>0</v>
      </c>
      <c r="K585" s="792"/>
      <c r="L585" s="812"/>
      <c r="M585" s="792">
        <f t="shared" si="45"/>
        <v>0</v>
      </c>
      <c r="N585" s="812"/>
      <c r="O585" s="792">
        <f t="shared" si="46"/>
        <v>0</v>
      </c>
      <c r="P585" s="792">
        <f t="shared" si="47"/>
        <v>0</v>
      </c>
    </row>
    <row r="586" spans="3:16">
      <c r="C586" s="788">
        <f>IF(D530="","-",+C585+1)</f>
        <v>2063</v>
      </c>
      <c r="D586" s="736">
        <f t="shared" si="48"/>
        <v>0</v>
      </c>
      <c r="E586" s="789">
        <f t="shared" si="50"/>
        <v>0</v>
      </c>
      <c r="F586" s="789">
        <f t="shared" si="44"/>
        <v>0</v>
      </c>
      <c r="G586" s="736">
        <f t="shared" si="49"/>
        <v>0</v>
      </c>
      <c r="H586" s="794">
        <f>+J531*G586+E586</f>
        <v>0</v>
      </c>
      <c r="I586" s="795">
        <f>+J532*G586+E586</f>
        <v>0</v>
      </c>
      <c r="J586" s="792">
        <f t="shared" si="51"/>
        <v>0</v>
      </c>
      <c r="K586" s="792"/>
      <c r="L586" s="812"/>
      <c r="M586" s="792">
        <f t="shared" si="45"/>
        <v>0</v>
      </c>
      <c r="N586" s="812"/>
      <c r="O586" s="792">
        <f t="shared" si="46"/>
        <v>0</v>
      </c>
      <c r="P586" s="792">
        <f t="shared" si="47"/>
        <v>0</v>
      </c>
    </row>
    <row r="587" spans="3:16">
      <c r="C587" s="788">
        <f>IF(D530="","-",+C586+1)</f>
        <v>2064</v>
      </c>
      <c r="D587" s="736">
        <f t="shared" si="48"/>
        <v>0</v>
      </c>
      <c r="E587" s="789">
        <f t="shared" si="50"/>
        <v>0</v>
      </c>
      <c r="F587" s="789">
        <f t="shared" si="44"/>
        <v>0</v>
      </c>
      <c r="G587" s="736">
        <f t="shared" si="49"/>
        <v>0</v>
      </c>
      <c r="H587" s="794">
        <f>+J531*G587+E587</f>
        <v>0</v>
      </c>
      <c r="I587" s="795">
        <f>+J532*G587+E587</f>
        <v>0</v>
      </c>
      <c r="J587" s="792">
        <f t="shared" si="51"/>
        <v>0</v>
      </c>
      <c r="K587" s="792"/>
      <c r="L587" s="812"/>
      <c r="M587" s="792">
        <f t="shared" si="45"/>
        <v>0</v>
      </c>
      <c r="N587" s="812"/>
      <c r="O587" s="792">
        <f t="shared" si="46"/>
        <v>0</v>
      </c>
      <c r="P587" s="792">
        <f t="shared" si="47"/>
        <v>0</v>
      </c>
    </row>
    <row r="588" spans="3:16">
      <c r="C588" s="788">
        <f>IF(D530="","-",+C587+1)</f>
        <v>2065</v>
      </c>
      <c r="D588" s="736">
        <f t="shared" si="48"/>
        <v>0</v>
      </c>
      <c r="E588" s="789">
        <f t="shared" si="50"/>
        <v>0</v>
      </c>
      <c r="F588" s="789">
        <f t="shared" si="44"/>
        <v>0</v>
      </c>
      <c r="G588" s="736">
        <f t="shared" si="49"/>
        <v>0</v>
      </c>
      <c r="H588" s="794">
        <f>+J531*G588+E588</f>
        <v>0</v>
      </c>
      <c r="I588" s="795">
        <f>+J532*G588+E588</f>
        <v>0</v>
      </c>
      <c r="J588" s="792">
        <f t="shared" si="51"/>
        <v>0</v>
      </c>
      <c r="K588" s="792"/>
      <c r="L588" s="812"/>
      <c r="M588" s="792">
        <f t="shared" si="45"/>
        <v>0</v>
      </c>
      <c r="N588" s="812"/>
      <c r="O588" s="792">
        <f t="shared" si="46"/>
        <v>0</v>
      </c>
      <c r="P588" s="792">
        <f t="shared" si="47"/>
        <v>0</v>
      </c>
    </row>
    <row r="589" spans="3:16">
      <c r="C589" s="788">
        <f>IF(D530="","-",+C588+1)</f>
        <v>2066</v>
      </c>
      <c r="D589" s="736">
        <f t="shared" si="48"/>
        <v>0</v>
      </c>
      <c r="E589" s="789">
        <f t="shared" si="50"/>
        <v>0</v>
      </c>
      <c r="F589" s="789">
        <f t="shared" si="44"/>
        <v>0</v>
      </c>
      <c r="G589" s="736">
        <f t="shared" si="49"/>
        <v>0</v>
      </c>
      <c r="H589" s="794">
        <f>+J531*G589+E589</f>
        <v>0</v>
      </c>
      <c r="I589" s="795">
        <f>+J532*G589+E589</f>
        <v>0</v>
      </c>
      <c r="J589" s="792">
        <f t="shared" si="51"/>
        <v>0</v>
      </c>
      <c r="K589" s="792"/>
      <c r="L589" s="812"/>
      <c r="M589" s="792">
        <f t="shared" si="45"/>
        <v>0</v>
      </c>
      <c r="N589" s="812"/>
      <c r="O589" s="792">
        <f t="shared" si="46"/>
        <v>0</v>
      </c>
      <c r="P589" s="792">
        <f t="shared" si="47"/>
        <v>0</v>
      </c>
    </row>
    <row r="590" spans="3:16">
      <c r="C590" s="788">
        <f>IF(D530="","-",+C589+1)</f>
        <v>2067</v>
      </c>
      <c r="D590" s="736">
        <f t="shared" ref="D590:D595" si="52">F589</f>
        <v>0</v>
      </c>
      <c r="E590" s="789">
        <f t="shared" si="50"/>
        <v>0</v>
      </c>
      <c r="F590" s="789">
        <f t="shared" si="44"/>
        <v>0</v>
      </c>
      <c r="G590" s="736">
        <f t="shared" si="49"/>
        <v>0</v>
      </c>
      <c r="H590" s="794">
        <f>+J531*G590+E590</f>
        <v>0</v>
      </c>
      <c r="I590" s="795">
        <f>+J532*G590+E590</f>
        <v>0</v>
      </c>
      <c r="J590" s="792">
        <f t="shared" si="51"/>
        <v>0</v>
      </c>
      <c r="K590" s="792"/>
      <c r="L590" s="812"/>
      <c r="M590" s="792">
        <f t="shared" si="45"/>
        <v>0</v>
      </c>
      <c r="N590" s="812"/>
      <c r="O590" s="792">
        <f t="shared" si="46"/>
        <v>0</v>
      </c>
      <c r="P590" s="792">
        <f t="shared" si="47"/>
        <v>0</v>
      </c>
    </row>
    <row r="591" spans="3:16">
      <c r="C591" s="788">
        <f>IF(D530="","-",+C590+1)</f>
        <v>2068</v>
      </c>
      <c r="D591" s="736">
        <f t="shared" si="52"/>
        <v>0</v>
      </c>
      <c r="E591" s="789">
        <f t="shared" si="50"/>
        <v>0</v>
      </c>
      <c r="F591" s="789">
        <f t="shared" si="44"/>
        <v>0</v>
      </c>
      <c r="G591" s="736">
        <f t="shared" si="49"/>
        <v>0</v>
      </c>
      <c r="H591" s="794">
        <f>+J531*G591+E591</f>
        <v>0</v>
      </c>
      <c r="I591" s="795">
        <f>+J532*G591+E591</f>
        <v>0</v>
      </c>
      <c r="J591" s="792">
        <f t="shared" si="51"/>
        <v>0</v>
      </c>
      <c r="K591" s="792"/>
      <c r="L591" s="812"/>
      <c r="M591" s="792">
        <f t="shared" si="45"/>
        <v>0</v>
      </c>
      <c r="N591" s="812"/>
      <c r="O591" s="792">
        <f t="shared" si="46"/>
        <v>0</v>
      </c>
      <c r="P591" s="792">
        <f t="shared" si="47"/>
        <v>0</v>
      </c>
    </row>
    <row r="592" spans="3:16">
      <c r="C592" s="788">
        <f>IF(D530="","-",+C591+1)</f>
        <v>2069</v>
      </c>
      <c r="D592" s="736">
        <f t="shared" si="52"/>
        <v>0</v>
      </c>
      <c r="E592" s="789">
        <f t="shared" si="50"/>
        <v>0</v>
      </c>
      <c r="F592" s="789">
        <f t="shared" si="44"/>
        <v>0</v>
      </c>
      <c r="G592" s="736">
        <f t="shared" si="49"/>
        <v>0</v>
      </c>
      <c r="H592" s="794">
        <f>+J531*G592+E592</f>
        <v>0</v>
      </c>
      <c r="I592" s="795">
        <f>+J532*G592+E592</f>
        <v>0</v>
      </c>
      <c r="J592" s="792">
        <f t="shared" si="51"/>
        <v>0</v>
      </c>
      <c r="K592" s="792"/>
      <c r="L592" s="812"/>
      <c r="M592" s="792">
        <f t="shared" si="45"/>
        <v>0</v>
      </c>
      <c r="N592" s="812"/>
      <c r="O592" s="792">
        <f t="shared" si="46"/>
        <v>0</v>
      </c>
      <c r="P592" s="792">
        <f t="shared" si="47"/>
        <v>0</v>
      </c>
    </row>
    <row r="593" spans="1:17">
      <c r="C593" s="788">
        <f>IF(D530="","-",+C592+1)</f>
        <v>2070</v>
      </c>
      <c r="D593" s="736">
        <f t="shared" si="52"/>
        <v>0</v>
      </c>
      <c r="E593" s="789">
        <f t="shared" si="50"/>
        <v>0</v>
      </c>
      <c r="F593" s="789">
        <f t="shared" si="44"/>
        <v>0</v>
      </c>
      <c r="G593" s="736">
        <f t="shared" si="49"/>
        <v>0</v>
      </c>
      <c r="H593" s="794">
        <f>+J531*G593+E593</f>
        <v>0</v>
      </c>
      <c r="I593" s="795">
        <f>+J532*G593+E593</f>
        <v>0</v>
      </c>
      <c r="J593" s="792">
        <f t="shared" si="51"/>
        <v>0</v>
      </c>
      <c r="K593" s="792"/>
      <c r="L593" s="812"/>
      <c r="M593" s="792">
        <f t="shared" si="45"/>
        <v>0</v>
      </c>
      <c r="N593" s="812"/>
      <c r="O593" s="792">
        <f t="shared" si="46"/>
        <v>0</v>
      </c>
      <c r="P593" s="792">
        <f t="shared" si="47"/>
        <v>0</v>
      </c>
    </row>
    <row r="594" spans="1:17">
      <c r="C594" s="788">
        <f>IF(D530="","-",+C593+1)</f>
        <v>2071</v>
      </c>
      <c r="D594" s="736">
        <f t="shared" si="52"/>
        <v>0</v>
      </c>
      <c r="E594" s="789">
        <f t="shared" si="50"/>
        <v>0</v>
      </c>
      <c r="F594" s="789">
        <f t="shared" si="44"/>
        <v>0</v>
      </c>
      <c r="G594" s="736">
        <f t="shared" si="49"/>
        <v>0</v>
      </c>
      <c r="H594" s="794">
        <f>+J531*G594+E594</f>
        <v>0</v>
      </c>
      <c r="I594" s="795">
        <f>+J532*G594+E594</f>
        <v>0</v>
      </c>
      <c r="J594" s="792">
        <f t="shared" si="51"/>
        <v>0</v>
      </c>
      <c r="K594" s="792"/>
      <c r="L594" s="812"/>
      <c r="M594" s="792">
        <f t="shared" si="45"/>
        <v>0</v>
      </c>
      <c r="N594" s="812"/>
      <c r="O594" s="792">
        <f t="shared" si="46"/>
        <v>0</v>
      </c>
      <c r="P594" s="792">
        <f t="shared" si="47"/>
        <v>0</v>
      </c>
    </row>
    <row r="595" spans="1:17" ht="13.5" thickBot="1">
      <c r="C595" s="798">
        <f>IF(D530="","-",+C594+1)</f>
        <v>2072</v>
      </c>
      <c r="D595" s="799">
        <f t="shared" si="52"/>
        <v>0</v>
      </c>
      <c r="E595" s="800">
        <f t="shared" si="50"/>
        <v>0</v>
      </c>
      <c r="F595" s="800">
        <f t="shared" si="44"/>
        <v>0</v>
      </c>
      <c r="G595" s="799">
        <f t="shared" si="49"/>
        <v>0</v>
      </c>
      <c r="H595" s="801">
        <f>+J531*G595+E595</f>
        <v>0</v>
      </c>
      <c r="I595" s="801">
        <f>+J532*G595+E595</f>
        <v>0</v>
      </c>
      <c r="J595" s="802">
        <f t="shared" si="51"/>
        <v>0</v>
      </c>
      <c r="K595" s="792"/>
      <c r="L595" s="813"/>
      <c r="M595" s="802">
        <f t="shared" si="45"/>
        <v>0</v>
      </c>
      <c r="N595" s="813"/>
      <c r="O595" s="802">
        <f t="shared" si="46"/>
        <v>0</v>
      </c>
      <c r="P595" s="802">
        <f t="shared" si="47"/>
        <v>0</v>
      </c>
    </row>
    <row r="596" spans="1:17">
      <c r="C596" s="736" t="s">
        <v>83</v>
      </c>
      <c r="D596" s="730"/>
      <c r="E596" s="730">
        <f>SUM(E536:E595)</f>
        <v>6849656.75</v>
      </c>
      <c r="F596" s="730"/>
      <c r="G596" s="730"/>
      <c r="H596" s="730">
        <f>SUM(H536:H595)</f>
        <v>25160987.298659749</v>
      </c>
      <c r="I596" s="730">
        <f>SUM(I536:I595)</f>
        <v>25160987.298659749</v>
      </c>
      <c r="J596" s="730">
        <f>SUM(J536:J595)</f>
        <v>0</v>
      </c>
      <c r="K596" s="730"/>
      <c r="L596" s="730"/>
      <c r="M596" s="730"/>
      <c r="N596" s="730"/>
      <c r="O596" s="730"/>
    </row>
    <row r="597" spans="1:17">
      <c r="D597" s="538"/>
      <c r="E597" s="313"/>
      <c r="F597" s="313"/>
      <c r="G597" s="313"/>
      <c r="H597" s="313"/>
      <c r="I597" s="708"/>
      <c r="J597" s="708"/>
      <c r="K597" s="730"/>
      <c r="L597" s="708"/>
      <c r="M597" s="708"/>
      <c r="N597" s="708"/>
      <c r="O597" s="708"/>
    </row>
    <row r="598" spans="1:17">
      <c r="C598" s="313" t="s">
        <v>13</v>
      </c>
      <c r="D598" s="538"/>
      <c r="E598" s="313"/>
      <c r="F598" s="313"/>
      <c r="G598" s="313"/>
      <c r="H598" s="313"/>
      <c r="I598" s="708"/>
      <c r="J598" s="708"/>
      <c r="K598" s="730"/>
      <c r="L598" s="708"/>
      <c r="M598" s="708"/>
      <c r="N598" s="708"/>
      <c r="O598" s="708"/>
    </row>
    <row r="599" spans="1:17">
      <c r="C599" s="313"/>
      <c r="D599" s="538"/>
      <c r="E599" s="313"/>
      <c r="F599" s="313"/>
      <c r="G599" s="313"/>
      <c r="H599" s="313"/>
      <c r="I599" s="708"/>
      <c r="J599" s="708"/>
      <c r="K599" s="730"/>
      <c r="L599" s="708"/>
      <c r="M599" s="708"/>
      <c r="N599" s="708"/>
      <c r="O599" s="708"/>
    </row>
    <row r="600" spans="1:17">
      <c r="C600" s="749" t="s">
        <v>14</v>
      </c>
      <c r="D600" s="736"/>
      <c r="E600" s="736"/>
      <c r="F600" s="736"/>
      <c r="G600" s="736"/>
      <c r="H600" s="730"/>
      <c r="I600" s="730"/>
      <c r="J600" s="804"/>
      <c r="K600" s="804"/>
      <c r="L600" s="804"/>
      <c r="M600" s="804"/>
      <c r="N600" s="804"/>
      <c r="O600" s="804"/>
    </row>
    <row r="601" spans="1:17">
      <c r="C601" s="735" t="s">
        <v>263</v>
      </c>
      <c r="D601" s="736"/>
      <c r="E601" s="736"/>
      <c r="F601" s="736"/>
      <c r="G601" s="736"/>
      <c r="H601" s="730"/>
      <c r="I601" s="730"/>
      <c r="J601" s="804"/>
      <c r="K601" s="804"/>
      <c r="L601" s="804"/>
      <c r="M601" s="804"/>
      <c r="N601" s="804"/>
      <c r="O601" s="804"/>
    </row>
    <row r="602" spans="1:17">
      <c r="C602" s="735" t="s">
        <v>84</v>
      </c>
      <c r="D602" s="736"/>
      <c r="E602" s="736"/>
      <c r="F602" s="736"/>
      <c r="G602" s="736"/>
      <c r="H602" s="730"/>
      <c r="I602" s="730"/>
      <c r="J602" s="804"/>
      <c r="K602" s="804"/>
      <c r="L602" s="804"/>
      <c r="M602" s="804"/>
      <c r="N602" s="804"/>
      <c r="O602" s="804"/>
    </row>
    <row r="604" spans="1:17" ht="20.25">
      <c r="A604" s="737" t="str">
        <f>""&amp;A529&amp;" Worksheet K -  ATRR TRUE-UP Calculation for PJM Projects Charged to Benefiting Zones"</f>
        <v xml:space="preserve"> Worksheet K -  ATRR TRUE-UP Calculation for PJM Projects Charged to Benefiting Zones</v>
      </c>
      <c r="B604" s="347"/>
      <c r="C604" s="725"/>
      <c r="D604" s="538"/>
      <c r="E604" s="313"/>
      <c r="F604" s="707"/>
      <c r="G604" s="707"/>
      <c r="H604" s="313"/>
      <c r="I604" s="708"/>
      <c r="L604" s="564"/>
      <c r="M604" s="564"/>
      <c r="N604" s="564"/>
      <c r="O604" s="653" t="str">
        <f>"Page "&amp;SUM(Q$8:Q604)&amp;" of "</f>
        <v xml:space="preserve">Page 8 of </v>
      </c>
      <c r="P604" s="654">
        <f>COUNT(Q$8:Q$57703)</f>
        <v>22</v>
      </c>
      <c r="Q604" s="655">
        <v>1</v>
      </c>
    </row>
    <row r="605" spans="1:17">
      <c r="B605" s="347"/>
      <c r="C605" s="313"/>
      <c r="D605" s="538"/>
      <c r="E605" s="313"/>
      <c r="F605" s="313"/>
      <c r="G605" s="313"/>
      <c r="H605" s="313"/>
      <c r="I605" s="708"/>
      <c r="J605" s="313"/>
      <c r="K605" s="426"/>
    </row>
    <row r="606" spans="1:17" ht="18">
      <c r="B606" s="657" t="s">
        <v>466</v>
      </c>
      <c r="C606" s="739" t="s">
        <v>85</v>
      </c>
      <c r="D606" s="538"/>
      <c r="E606" s="313"/>
      <c r="F606" s="313"/>
      <c r="G606" s="313"/>
      <c r="H606" s="313"/>
      <c r="I606" s="708"/>
      <c r="J606" s="708"/>
      <c r="K606" s="730"/>
      <c r="L606" s="708"/>
      <c r="M606" s="708"/>
      <c r="N606" s="708"/>
      <c r="O606" s="708"/>
    </row>
    <row r="607" spans="1:17" ht="18.75">
      <c r="B607" s="657"/>
      <c r="C607" s="656"/>
      <c r="D607" s="538"/>
      <c r="E607" s="313"/>
      <c r="F607" s="313"/>
      <c r="G607" s="313"/>
      <c r="H607" s="313"/>
      <c r="I607" s="708"/>
      <c r="J607" s="708"/>
      <c r="K607" s="730"/>
      <c r="L607" s="708"/>
      <c r="M607" s="708"/>
      <c r="N607" s="708"/>
      <c r="O607" s="708"/>
    </row>
    <row r="608" spans="1:17" ht="18.75">
      <c r="B608" s="657"/>
      <c r="C608" s="656" t="s">
        <v>86</v>
      </c>
      <c r="D608" s="538"/>
      <c r="E608" s="313"/>
      <c r="F608" s="313"/>
      <c r="G608" s="313"/>
      <c r="H608" s="313"/>
      <c r="I608" s="708"/>
      <c r="J608" s="708"/>
      <c r="K608" s="730"/>
      <c r="L608" s="708"/>
      <c r="M608" s="708"/>
      <c r="N608" s="708"/>
      <c r="O608" s="708"/>
    </row>
    <row r="609" spans="2:16" ht="15.75" thickBot="1">
      <c r="C609" s="239"/>
      <c r="D609" s="538"/>
      <c r="E609" s="313"/>
      <c r="F609" s="313"/>
      <c r="G609" s="313"/>
      <c r="H609" s="313"/>
      <c r="I609" s="708"/>
      <c r="J609" s="708"/>
      <c r="K609" s="730"/>
      <c r="L609" s="708"/>
      <c r="M609" s="708"/>
      <c r="N609" s="708"/>
      <c r="O609" s="708"/>
    </row>
    <row r="610" spans="2:16" ht="15.75">
      <c r="C610" s="659" t="s">
        <v>87</v>
      </c>
      <c r="D610" s="538"/>
      <c r="E610" s="313"/>
      <c r="F610" s="313"/>
      <c r="G610" s="313"/>
      <c r="H610" s="806"/>
      <c r="I610" s="313" t="s">
        <v>66</v>
      </c>
      <c r="J610" s="313"/>
      <c r="K610" s="426"/>
      <c r="L610" s="835">
        <f>+J616</f>
        <v>2023</v>
      </c>
      <c r="M610" s="816" t="s">
        <v>45</v>
      </c>
      <c r="N610" s="816" t="s">
        <v>46</v>
      </c>
      <c r="O610" s="817" t="s">
        <v>47</v>
      </c>
    </row>
    <row r="611" spans="2:16" ht="15.75">
      <c r="C611" s="659"/>
      <c r="D611" s="538"/>
      <c r="E611" s="313"/>
      <c r="F611" s="313"/>
      <c r="H611" s="313"/>
      <c r="I611" s="744"/>
      <c r="J611" s="744"/>
      <c r="K611" s="745"/>
      <c r="L611" s="836" t="s">
        <v>235</v>
      </c>
      <c r="M611" s="837">
        <f>VLOOKUP(J616,C623:P682,10)</f>
        <v>3210068.8806937789</v>
      </c>
      <c r="N611" s="837">
        <f>VLOOKUP(J616,C623:P682,12)</f>
        <v>3210068.8806937789</v>
      </c>
      <c r="O611" s="838">
        <f>+N611-M611</f>
        <v>0</v>
      </c>
    </row>
    <row r="612" spans="2:16" ht="12.95" customHeight="1">
      <c r="C612" s="749" t="s">
        <v>88</v>
      </c>
      <c r="D612" s="1546" t="s">
        <v>814</v>
      </c>
      <c r="E612" s="1546"/>
      <c r="F612" s="1546"/>
      <c r="G612" s="1546"/>
      <c r="H612" s="1546"/>
      <c r="I612" s="1546"/>
      <c r="J612" s="708"/>
      <c r="K612" s="730"/>
      <c r="L612" s="836" t="s">
        <v>236</v>
      </c>
      <c r="M612" s="839">
        <f>VLOOKUP(J616,C623:P682,6)</f>
        <v>3072940.0600821092</v>
      </c>
      <c r="N612" s="839">
        <f>VLOOKUP(J616,C623:P682,7)</f>
        <v>3072940.0600821092</v>
      </c>
      <c r="O612" s="840">
        <f>+N612-M612</f>
        <v>0</v>
      </c>
    </row>
    <row r="613" spans="2:16" ht="13.5" thickBot="1">
      <c r="C613" s="753"/>
      <c r="D613" s="1546" t="s">
        <v>408</v>
      </c>
      <c r="E613" s="1546"/>
      <c r="F613" s="1546"/>
      <c r="G613" s="1546"/>
      <c r="H613" s="1546"/>
      <c r="I613" s="1546"/>
      <c r="J613" s="708"/>
      <c r="K613" s="730"/>
      <c r="L613" s="772" t="s">
        <v>237</v>
      </c>
      <c r="M613" s="841">
        <f>+M612-M611</f>
        <v>-137128.82061166968</v>
      </c>
      <c r="N613" s="841">
        <f>+N612-N611</f>
        <v>-137128.82061166968</v>
      </c>
      <c r="O613" s="842">
        <f>+O612-O611</f>
        <v>0</v>
      </c>
    </row>
    <row r="614" spans="2:16" ht="13.5" thickBot="1">
      <c r="C614" s="756"/>
      <c r="D614" s="757"/>
      <c r="E614" s="755"/>
      <c r="F614" s="755"/>
      <c r="G614" s="755"/>
      <c r="H614" s="755"/>
      <c r="I614" s="755"/>
      <c r="J614" s="755"/>
      <c r="K614" s="758"/>
      <c r="L614" s="755"/>
      <c r="M614" s="755"/>
      <c r="N614" s="755"/>
      <c r="O614" s="755"/>
      <c r="P614" s="347"/>
    </row>
    <row r="615" spans="2:16" ht="13.5" thickBot="1">
      <c r="C615" s="759" t="s">
        <v>89</v>
      </c>
      <c r="D615" s="760"/>
      <c r="E615" s="760"/>
      <c r="F615" s="760"/>
      <c r="G615" s="760"/>
      <c r="H615" s="760"/>
      <c r="I615" s="760"/>
      <c r="J615" s="760"/>
      <c r="K615" s="762"/>
      <c r="P615" s="763"/>
    </row>
    <row r="616" spans="2:16" ht="15">
      <c r="C616" s="764" t="s">
        <v>67</v>
      </c>
      <c r="D616" s="808">
        <v>21942391.43</v>
      </c>
      <c r="E616" s="725" t="s">
        <v>68</v>
      </c>
      <c r="H616" s="765"/>
      <c r="I616" s="765"/>
      <c r="J616" s="766">
        <f>$J$93</f>
        <v>2023</v>
      </c>
      <c r="K616" s="554"/>
      <c r="L616" s="1536" t="s">
        <v>69</v>
      </c>
      <c r="M616" s="1536"/>
      <c r="N616" s="1536"/>
      <c r="O616" s="1536"/>
      <c r="P616" s="426"/>
    </row>
    <row r="617" spans="2:16">
      <c r="C617" s="764" t="s">
        <v>70</v>
      </c>
      <c r="D617" s="809">
        <v>2015</v>
      </c>
      <c r="E617" s="764" t="s">
        <v>71</v>
      </c>
      <c r="F617" s="765"/>
      <c r="G617" s="765"/>
      <c r="I617" s="172"/>
      <c r="J617" s="810">
        <f>IF(H610="",0,$F$17)</f>
        <v>0</v>
      </c>
      <c r="K617" s="767"/>
      <c r="L617" s="730" t="s">
        <v>277</v>
      </c>
      <c r="P617" s="426"/>
    </row>
    <row r="618" spans="2:16">
      <c r="C618" s="764" t="s">
        <v>72</v>
      </c>
      <c r="D618" s="808">
        <v>6</v>
      </c>
      <c r="E618" s="764" t="s">
        <v>73</v>
      </c>
      <c r="F618" s="765"/>
      <c r="G618" s="765"/>
      <c r="I618" s="172"/>
      <c r="J618" s="768">
        <f>$F$70</f>
        <v>0.14450383244078713</v>
      </c>
      <c r="K618" s="769"/>
      <c r="L618" s="313" t="str">
        <f>"          INPUT TRUE-UP ARR (WITH &amp; WITHOUT INCENTIVES) FROM EACH PRIOR YEAR"</f>
        <v xml:space="preserve">          INPUT TRUE-UP ARR (WITH &amp; WITHOUT INCENTIVES) FROM EACH PRIOR YEAR</v>
      </c>
      <c r="P618" s="426"/>
    </row>
    <row r="619" spans="2:16">
      <c r="C619" s="764" t="s">
        <v>74</v>
      </c>
      <c r="D619" s="770">
        <f>H$79</f>
        <v>35</v>
      </c>
      <c r="E619" s="764" t="s">
        <v>75</v>
      </c>
      <c r="F619" s="765"/>
      <c r="G619" s="765"/>
      <c r="I619" s="172"/>
      <c r="J619" s="768">
        <f>IF(H610="",+J618,$F$69)</f>
        <v>0.14450383244078713</v>
      </c>
      <c r="K619" s="771"/>
      <c r="L619" s="313" t="s">
        <v>157</v>
      </c>
      <c r="M619" s="771"/>
      <c r="N619" s="771"/>
      <c r="O619" s="771"/>
      <c r="P619" s="426"/>
    </row>
    <row r="620" spans="2:16" ht="13.5" thickBot="1">
      <c r="C620" s="764" t="s">
        <v>76</v>
      </c>
      <c r="D620" s="807" t="s">
        <v>808</v>
      </c>
      <c r="E620" s="772" t="s">
        <v>77</v>
      </c>
      <c r="F620" s="773"/>
      <c r="G620" s="773"/>
      <c r="H620" s="774"/>
      <c r="I620" s="774"/>
      <c r="J620" s="752">
        <f>IF(D616=0,0,D616/D619)</f>
        <v>626925.46942857141</v>
      </c>
      <c r="K620" s="730"/>
      <c r="L620" s="730" t="s">
        <v>158</v>
      </c>
      <c r="M620" s="730"/>
      <c r="N620" s="730"/>
      <c r="O620" s="730"/>
      <c r="P620" s="426"/>
    </row>
    <row r="621" spans="2:16" ht="38.25">
      <c r="B621" s="845"/>
      <c r="C621" s="775" t="s">
        <v>67</v>
      </c>
      <c r="D621" s="776" t="s">
        <v>78</v>
      </c>
      <c r="E621" s="777" t="s">
        <v>79</v>
      </c>
      <c r="F621" s="776" t="s">
        <v>80</v>
      </c>
      <c r="G621" s="776" t="s">
        <v>238</v>
      </c>
      <c r="H621" s="777" t="s">
        <v>151</v>
      </c>
      <c r="I621" s="778" t="s">
        <v>151</v>
      </c>
      <c r="J621" s="775" t="s">
        <v>90</v>
      </c>
      <c r="K621" s="779"/>
      <c r="L621" s="777" t="s">
        <v>153</v>
      </c>
      <c r="M621" s="777" t="s">
        <v>159</v>
      </c>
      <c r="N621" s="777" t="s">
        <v>153</v>
      </c>
      <c r="O621" s="777" t="s">
        <v>161</v>
      </c>
      <c r="P621" s="777" t="s">
        <v>81</v>
      </c>
    </row>
    <row r="622" spans="2:16" ht="13.5" thickBot="1">
      <c r="C622" s="781" t="s">
        <v>469</v>
      </c>
      <c r="D622" s="782" t="s">
        <v>470</v>
      </c>
      <c r="E622" s="781" t="s">
        <v>363</v>
      </c>
      <c r="F622" s="782" t="s">
        <v>470</v>
      </c>
      <c r="G622" s="782" t="s">
        <v>470</v>
      </c>
      <c r="H622" s="783" t="s">
        <v>93</v>
      </c>
      <c r="I622" s="784" t="s">
        <v>95</v>
      </c>
      <c r="J622" s="785" t="s">
        <v>15</v>
      </c>
      <c r="K622" s="786"/>
      <c r="L622" s="783" t="s">
        <v>82</v>
      </c>
      <c r="M622" s="783" t="s">
        <v>82</v>
      </c>
      <c r="N622" s="783" t="s">
        <v>255</v>
      </c>
      <c r="O622" s="783" t="s">
        <v>255</v>
      </c>
      <c r="P622" s="783" t="s">
        <v>255</v>
      </c>
    </row>
    <row r="623" spans="2:16">
      <c r="C623" s="788">
        <f>IF(D617= "","-",D617)</f>
        <v>2015</v>
      </c>
      <c r="D623" s="736">
        <f>+D616</f>
        <v>21942391.43</v>
      </c>
      <c r="E623" s="794">
        <f>+J620/12*(12-D618)</f>
        <v>313462.7347142857</v>
      </c>
      <c r="F623" s="843">
        <f t="shared" ref="F623:F682" si="53">+D623-E623</f>
        <v>21628928.695285715</v>
      </c>
      <c r="G623" s="736">
        <f>+(D623+F623)/2</f>
        <v>21785660.062642857</v>
      </c>
      <c r="H623" s="790">
        <f>+J618*G623+E623</f>
        <v>3461574.1060183775</v>
      </c>
      <c r="I623" s="791">
        <f>+J619*G623+E623</f>
        <v>3461574.1060183775</v>
      </c>
      <c r="J623" s="792">
        <f>+I623-H623</f>
        <v>0</v>
      </c>
      <c r="K623" s="792"/>
      <c r="L623" s="811">
        <v>962431</v>
      </c>
      <c r="M623" s="844">
        <f t="shared" ref="M623:M682" si="54">IF(L623&lt;&gt;0,+H623-L623,0)</f>
        <v>2499143.1060183775</v>
      </c>
      <c r="N623" s="811">
        <v>962431</v>
      </c>
      <c r="O623" s="844">
        <f t="shared" ref="O623:O682" si="55">IF(N623&lt;&gt;0,+I623-N623,0)</f>
        <v>2499143.1060183775</v>
      </c>
      <c r="P623" s="844">
        <f t="shared" ref="P623:P682" si="56">+O623-M623</f>
        <v>0</v>
      </c>
    </row>
    <row r="624" spans="2:16">
      <c r="C624" s="788">
        <f>IF(D617="","-",+C623+1)</f>
        <v>2016</v>
      </c>
      <c r="D624" s="736">
        <f t="shared" ref="D624:D682" si="57">F623</f>
        <v>21628928.695285715</v>
      </c>
      <c r="E624" s="789">
        <f>IF(D624&gt;$J$620,$J$620,D624)</f>
        <v>626925.46942857141</v>
      </c>
      <c r="F624" s="789">
        <f t="shared" si="53"/>
        <v>21002003.225857142</v>
      </c>
      <c r="G624" s="736">
        <f t="shared" ref="G624:G682" si="58">+(D624+F624)/2</f>
        <v>21315465.960571431</v>
      </c>
      <c r="H624" s="794">
        <f>+J618*G624+E624</f>
        <v>3707091.9909922872</v>
      </c>
      <c r="I624" s="795">
        <f>+J619*G624+E624</f>
        <v>3707091.9909922872</v>
      </c>
      <c r="J624" s="792">
        <f>+I624-H624</f>
        <v>0</v>
      </c>
      <c r="K624" s="792"/>
      <c r="L624" s="812">
        <v>7321581</v>
      </c>
      <c r="M624" s="792">
        <f t="shared" si="54"/>
        <v>-3614489.0090077128</v>
      </c>
      <c r="N624" s="812">
        <v>7321581</v>
      </c>
      <c r="O624" s="792">
        <f t="shared" si="55"/>
        <v>-3614489.0090077128</v>
      </c>
      <c r="P624" s="792">
        <f t="shared" si="56"/>
        <v>0</v>
      </c>
    </row>
    <row r="625" spans="3:16">
      <c r="C625" s="788">
        <f>IF(D617="","-",+C624+1)</f>
        <v>2017</v>
      </c>
      <c r="D625" s="736">
        <f t="shared" si="57"/>
        <v>21002003.225857142</v>
      </c>
      <c r="E625" s="789">
        <f t="shared" ref="E625:E682" si="59">IF(D625&gt;$J$620,$J$620,D625)</f>
        <v>626925.46942857141</v>
      </c>
      <c r="F625" s="789">
        <f t="shared" si="53"/>
        <v>20375077.75642857</v>
      </c>
      <c r="G625" s="736">
        <f t="shared" si="58"/>
        <v>20688540.491142854</v>
      </c>
      <c r="H625" s="794">
        <f>+J618*G625+E625</f>
        <v>3616498.8580051181</v>
      </c>
      <c r="I625" s="795">
        <f>+J619*G625+E625</f>
        <v>3616498.8580051181</v>
      </c>
      <c r="J625" s="792">
        <f t="shared" ref="J625:J682" si="60">+I625-H625</f>
        <v>0</v>
      </c>
      <c r="K625" s="792"/>
      <c r="L625" s="812">
        <v>4892362</v>
      </c>
      <c r="M625" s="792">
        <f t="shared" si="54"/>
        <v>-1275863.1419948819</v>
      </c>
      <c r="N625" s="812">
        <v>4892362</v>
      </c>
      <c r="O625" s="792">
        <f t="shared" si="55"/>
        <v>-1275863.1419948819</v>
      </c>
      <c r="P625" s="792">
        <f t="shared" si="56"/>
        <v>0</v>
      </c>
    </row>
    <row r="626" spans="3:16">
      <c r="C626" s="788">
        <f>IF(D617="","-",+C625+1)</f>
        <v>2018</v>
      </c>
      <c r="D626" s="1402">
        <f t="shared" si="57"/>
        <v>20375077.75642857</v>
      </c>
      <c r="E626" s="789">
        <f t="shared" si="59"/>
        <v>626925.46942857141</v>
      </c>
      <c r="F626" s="789">
        <f t="shared" si="53"/>
        <v>19748152.286999997</v>
      </c>
      <c r="G626" s="736">
        <f t="shared" si="58"/>
        <v>20061615.021714285</v>
      </c>
      <c r="H626" s="794">
        <f>+J618*G626+E626</f>
        <v>3525905.7250179504</v>
      </c>
      <c r="I626" s="795">
        <f>+J619*G626+E626</f>
        <v>3525905.7250179504</v>
      </c>
      <c r="J626" s="792">
        <f t="shared" si="60"/>
        <v>0</v>
      </c>
      <c r="K626" s="792"/>
      <c r="L626" s="812">
        <v>3315908</v>
      </c>
      <c r="M626" s="792">
        <f t="shared" si="54"/>
        <v>209997.7250179504</v>
      </c>
      <c r="N626" s="812">
        <v>3315908</v>
      </c>
      <c r="O626" s="792">
        <f t="shared" si="55"/>
        <v>209997.7250179504</v>
      </c>
      <c r="P626" s="792">
        <f t="shared" si="56"/>
        <v>0</v>
      </c>
    </row>
    <row r="627" spans="3:16">
      <c r="C627" s="788">
        <f>IF(D617="","-",+C626+1)</f>
        <v>2019</v>
      </c>
      <c r="D627" s="736">
        <f t="shared" si="57"/>
        <v>19748152.286999997</v>
      </c>
      <c r="E627" s="789">
        <f t="shared" si="59"/>
        <v>626925.46942857141</v>
      </c>
      <c r="F627" s="789">
        <f t="shared" si="53"/>
        <v>19121226.817571424</v>
      </c>
      <c r="G627" s="736">
        <f t="shared" si="58"/>
        <v>19434689.552285708</v>
      </c>
      <c r="H627" s="794">
        <f>+J618*G627+E627</f>
        <v>3435312.5920307818</v>
      </c>
      <c r="I627" s="795">
        <f>+J619*G627+E627</f>
        <v>3435312.5920307818</v>
      </c>
      <c r="J627" s="792">
        <f t="shared" si="60"/>
        <v>0</v>
      </c>
      <c r="K627" s="792"/>
      <c r="L627" s="812">
        <v>1878387.8702616687</v>
      </c>
      <c r="M627" s="792">
        <f t="shared" si="54"/>
        <v>1556924.7217691131</v>
      </c>
      <c r="N627" s="812">
        <v>1878387.8702616687</v>
      </c>
      <c r="O627" s="792">
        <f t="shared" si="55"/>
        <v>1556924.7217691131</v>
      </c>
      <c r="P627" s="792">
        <f t="shared" si="56"/>
        <v>0</v>
      </c>
    </row>
    <row r="628" spans="3:16">
      <c r="C628" s="788">
        <f>IF(D617="","-",+C627+1)</f>
        <v>2020</v>
      </c>
      <c r="D628" s="1321">
        <f t="shared" si="57"/>
        <v>19121226.817571424</v>
      </c>
      <c r="E628" s="789">
        <f t="shared" si="59"/>
        <v>626925.46942857141</v>
      </c>
      <c r="F628" s="789">
        <f t="shared" si="53"/>
        <v>18494301.348142851</v>
      </c>
      <c r="G628" s="736">
        <f t="shared" si="58"/>
        <v>18807764.082857139</v>
      </c>
      <c r="H628" s="794">
        <f>+J618*G628+E628</f>
        <v>3344719.4590436141</v>
      </c>
      <c r="I628" s="795">
        <f>+J619*G628+E628</f>
        <v>3344719.4590436141</v>
      </c>
      <c r="J628" s="792">
        <f t="shared" si="60"/>
        <v>0</v>
      </c>
      <c r="K628" s="792"/>
      <c r="L628" s="812">
        <v>1943866.2447975688</v>
      </c>
      <c r="M628" s="792">
        <f t="shared" si="54"/>
        <v>1400853.2142460453</v>
      </c>
      <c r="N628" s="812">
        <v>1943866.2447975688</v>
      </c>
      <c r="O628" s="792">
        <f t="shared" si="55"/>
        <v>1400853.2142460453</v>
      </c>
      <c r="P628" s="792">
        <f t="shared" si="56"/>
        <v>0</v>
      </c>
    </row>
    <row r="629" spans="3:16">
      <c r="C629" s="788">
        <f>IF(D617="","-",+C628+1)</f>
        <v>2021</v>
      </c>
      <c r="D629" s="1321">
        <f t="shared" si="57"/>
        <v>18494301.348142851</v>
      </c>
      <c r="E629" s="789">
        <f t="shared" si="59"/>
        <v>626925.46942857141</v>
      </c>
      <c r="F629" s="789">
        <f t="shared" si="53"/>
        <v>17867375.878714278</v>
      </c>
      <c r="G629" s="736">
        <f t="shared" si="58"/>
        <v>18180838.613428563</v>
      </c>
      <c r="H629" s="794">
        <f>+J618*G629+E629</f>
        <v>3254126.326056445</v>
      </c>
      <c r="I629" s="795">
        <f>+J619*G629+E629</f>
        <v>3254126.326056445</v>
      </c>
      <c r="J629" s="792">
        <f t="shared" si="60"/>
        <v>0</v>
      </c>
      <c r="K629" s="792"/>
      <c r="L629" s="812">
        <v>3307154.0286458884</v>
      </c>
      <c r="M629" s="792">
        <f t="shared" si="54"/>
        <v>-53027.702589443419</v>
      </c>
      <c r="N629" s="812">
        <v>3307154.0286458884</v>
      </c>
      <c r="O629" s="792">
        <f t="shared" si="55"/>
        <v>-53027.702589443419</v>
      </c>
      <c r="P629" s="792">
        <f t="shared" si="56"/>
        <v>0</v>
      </c>
    </row>
    <row r="630" spans="3:16">
      <c r="C630" s="788">
        <f>IF(D617="","-",+C629+1)</f>
        <v>2022</v>
      </c>
      <c r="D630" s="1321">
        <f t="shared" si="57"/>
        <v>17867375.878714278</v>
      </c>
      <c r="E630" s="789">
        <f t="shared" si="59"/>
        <v>626925.46942857141</v>
      </c>
      <c r="F630" s="789">
        <f t="shared" si="53"/>
        <v>17240450.409285706</v>
      </c>
      <c r="G630" s="736">
        <f t="shared" si="58"/>
        <v>17553913.143999994</v>
      </c>
      <c r="H630" s="794">
        <f>+J618*G630+E630</f>
        <v>3163533.1930692773</v>
      </c>
      <c r="I630" s="795">
        <f>+J619*G630+E630</f>
        <v>3163533.1930692773</v>
      </c>
      <c r="J630" s="792">
        <f t="shared" si="60"/>
        <v>0</v>
      </c>
      <c r="K630" s="792"/>
      <c r="L630" s="812">
        <v>3290723.4729367909</v>
      </c>
      <c r="M630" s="792">
        <f t="shared" si="54"/>
        <v>-127190.27986751357</v>
      </c>
      <c r="N630" s="812">
        <v>3290723.4729367909</v>
      </c>
      <c r="O630" s="792">
        <f t="shared" si="55"/>
        <v>-127190.27986751357</v>
      </c>
      <c r="P630" s="792">
        <f t="shared" si="56"/>
        <v>0</v>
      </c>
    </row>
    <row r="631" spans="3:16">
      <c r="C631" s="788">
        <f>IF(D617="","-",+C630+1)</f>
        <v>2023</v>
      </c>
      <c r="D631" s="736">
        <f t="shared" si="57"/>
        <v>17240450.409285706</v>
      </c>
      <c r="E631" s="789">
        <f t="shared" si="59"/>
        <v>626925.46942857141</v>
      </c>
      <c r="F631" s="789">
        <f t="shared" si="53"/>
        <v>16613524.939857135</v>
      </c>
      <c r="G631" s="736">
        <f t="shared" si="58"/>
        <v>16926987.674571421</v>
      </c>
      <c r="H631" s="794">
        <f>+J618*G631+E631</f>
        <v>3072940.0600821092</v>
      </c>
      <c r="I631" s="795">
        <f>+J619*G631+E631</f>
        <v>3072940.0600821092</v>
      </c>
      <c r="J631" s="792">
        <f t="shared" si="60"/>
        <v>0</v>
      </c>
      <c r="K631" s="792"/>
      <c r="L631" s="812">
        <v>3210068.8806937789</v>
      </c>
      <c r="M631" s="792">
        <f t="shared" si="54"/>
        <v>-137128.82061166968</v>
      </c>
      <c r="N631" s="812">
        <v>3210068.8806937789</v>
      </c>
      <c r="O631" s="792">
        <f t="shared" si="55"/>
        <v>-137128.82061166968</v>
      </c>
      <c r="P631" s="792">
        <f t="shared" si="56"/>
        <v>0</v>
      </c>
    </row>
    <row r="632" spans="3:16">
      <c r="C632" s="788">
        <f>IF(D617="","-",+C631+1)</f>
        <v>2024</v>
      </c>
      <c r="D632" s="736">
        <f t="shared" si="57"/>
        <v>16613524.939857135</v>
      </c>
      <c r="E632" s="789">
        <f t="shared" si="59"/>
        <v>626925.46942857141</v>
      </c>
      <c r="F632" s="789">
        <f t="shared" si="53"/>
        <v>15986599.470428564</v>
      </c>
      <c r="G632" s="736">
        <f t="shared" si="58"/>
        <v>16300062.205142848</v>
      </c>
      <c r="H632" s="794">
        <f>+J618*G632+E632</f>
        <v>2982346.9270949406</v>
      </c>
      <c r="I632" s="795">
        <f>+J619*G632+E632</f>
        <v>2982346.9270949406</v>
      </c>
      <c r="J632" s="792">
        <f t="shared" si="60"/>
        <v>0</v>
      </c>
      <c r="K632" s="792"/>
      <c r="L632" s="812"/>
      <c r="M632" s="792">
        <f t="shared" si="54"/>
        <v>0</v>
      </c>
      <c r="N632" s="812"/>
      <c r="O632" s="792">
        <f t="shared" si="55"/>
        <v>0</v>
      </c>
      <c r="P632" s="792">
        <f t="shared" si="56"/>
        <v>0</v>
      </c>
    </row>
    <row r="633" spans="3:16">
      <c r="C633" s="788">
        <f>IF(D617="","-",+C632+1)</f>
        <v>2025</v>
      </c>
      <c r="D633" s="736">
        <f t="shared" si="57"/>
        <v>15986599.470428564</v>
      </c>
      <c r="E633" s="789">
        <f t="shared" si="59"/>
        <v>626925.46942857141</v>
      </c>
      <c r="F633" s="789">
        <f t="shared" si="53"/>
        <v>15359674.000999993</v>
      </c>
      <c r="G633" s="736">
        <f t="shared" si="58"/>
        <v>15673136.735714279</v>
      </c>
      <c r="H633" s="794">
        <f>+J618*G633+E633</f>
        <v>2891753.7941077729</v>
      </c>
      <c r="I633" s="795">
        <f>+J619*G633+E633</f>
        <v>2891753.7941077729</v>
      </c>
      <c r="J633" s="792">
        <f t="shared" si="60"/>
        <v>0</v>
      </c>
      <c r="K633" s="792"/>
      <c r="L633" s="812"/>
      <c r="M633" s="792">
        <f t="shared" si="54"/>
        <v>0</v>
      </c>
      <c r="N633" s="812"/>
      <c r="O633" s="792">
        <f t="shared" si="55"/>
        <v>0</v>
      </c>
      <c r="P633" s="792">
        <f t="shared" si="56"/>
        <v>0</v>
      </c>
    </row>
    <row r="634" spans="3:16">
      <c r="C634" s="788">
        <f>IF(D617="","-",+C633+1)</f>
        <v>2026</v>
      </c>
      <c r="D634" s="736">
        <f t="shared" si="57"/>
        <v>15359674.000999993</v>
      </c>
      <c r="E634" s="789">
        <f t="shared" si="59"/>
        <v>626925.46942857141</v>
      </c>
      <c r="F634" s="789">
        <f t="shared" si="53"/>
        <v>14732748.531571422</v>
      </c>
      <c r="G634" s="736">
        <f t="shared" si="58"/>
        <v>15046211.266285706</v>
      </c>
      <c r="H634" s="794">
        <f>+J618*G634+E634</f>
        <v>2801160.6611206047</v>
      </c>
      <c r="I634" s="795">
        <f>+J619*G634+E634</f>
        <v>2801160.6611206047</v>
      </c>
      <c r="J634" s="792">
        <f t="shared" si="60"/>
        <v>0</v>
      </c>
      <c r="K634" s="792"/>
      <c r="L634" s="812"/>
      <c r="M634" s="792">
        <f t="shared" si="54"/>
        <v>0</v>
      </c>
      <c r="N634" s="812"/>
      <c r="O634" s="792">
        <f t="shared" si="55"/>
        <v>0</v>
      </c>
      <c r="P634" s="792">
        <f t="shared" si="56"/>
        <v>0</v>
      </c>
    </row>
    <row r="635" spans="3:16">
      <c r="C635" s="788">
        <f>IF(D617="","-",+C634+1)</f>
        <v>2027</v>
      </c>
      <c r="D635" s="736">
        <f t="shared" si="57"/>
        <v>14732748.531571422</v>
      </c>
      <c r="E635" s="789">
        <f t="shared" si="59"/>
        <v>626925.46942857141</v>
      </c>
      <c r="F635" s="789">
        <f t="shared" si="53"/>
        <v>14105823.062142851</v>
      </c>
      <c r="G635" s="736">
        <f t="shared" si="58"/>
        <v>14419285.796857137</v>
      </c>
      <c r="H635" s="794">
        <f>+J618*G635+E635</f>
        <v>2710567.528133437</v>
      </c>
      <c r="I635" s="795">
        <f>+J619*G635+E635</f>
        <v>2710567.528133437</v>
      </c>
      <c r="J635" s="792">
        <f t="shared" si="60"/>
        <v>0</v>
      </c>
      <c r="K635" s="792"/>
      <c r="L635" s="812"/>
      <c r="M635" s="792">
        <f t="shared" si="54"/>
        <v>0</v>
      </c>
      <c r="N635" s="812"/>
      <c r="O635" s="792">
        <f t="shared" si="55"/>
        <v>0</v>
      </c>
      <c r="P635" s="792">
        <f t="shared" si="56"/>
        <v>0</v>
      </c>
    </row>
    <row r="636" spans="3:16">
      <c r="C636" s="788">
        <f>IF(D617="","-",+C635+1)</f>
        <v>2028</v>
      </c>
      <c r="D636" s="736">
        <f t="shared" si="57"/>
        <v>14105823.062142851</v>
      </c>
      <c r="E636" s="789">
        <f t="shared" si="59"/>
        <v>626925.46942857141</v>
      </c>
      <c r="F636" s="789">
        <f t="shared" si="53"/>
        <v>13478897.59271428</v>
      </c>
      <c r="G636" s="736">
        <f t="shared" si="58"/>
        <v>13792360.327428564</v>
      </c>
      <c r="H636" s="794">
        <f>+J618*G636+E636</f>
        <v>2619974.3951462684</v>
      </c>
      <c r="I636" s="795">
        <f>+J619*G636+E636</f>
        <v>2619974.3951462684</v>
      </c>
      <c r="J636" s="792">
        <f t="shared" si="60"/>
        <v>0</v>
      </c>
      <c r="K636" s="792"/>
      <c r="L636" s="812"/>
      <c r="M636" s="792">
        <f t="shared" si="54"/>
        <v>0</v>
      </c>
      <c r="N636" s="812"/>
      <c r="O636" s="792">
        <f t="shared" si="55"/>
        <v>0</v>
      </c>
      <c r="P636" s="792">
        <f t="shared" si="56"/>
        <v>0</v>
      </c>
    </row>
    <row r="637" spans="3:16">
      <c r="C637" s="788">
        <f>IF(D617="","-",+C636+1)</f>
        <v>2029</v>
      </c>
      <c r="D637" s="736">
        <f t="shared" si="57"/>
        <v>13478897.59271428</v>
      </c>
      <c r="E637" s="789">
        <f t="shared" si="59"/>
        <v>626925.46942857141</v>
      </c>
      <c r="F637" s="789">
        <f t="shared" si="53"/>
        <v>12851972.123285709</v>
      </c>
      <c r="G637" s="736">
        <f t="shared" si="58"/>
        <v>13165434.857999995</v>
      </c>
      <c r="H637" s="794">
        <f>+J618*G637+E637</f>
        <v>2529381.2621591007</v>
      </c>
      <c r="I637" s="795">
        <f>+J619*G637+E637</f>
        <v>2529381.2621591007</v>
      </c>
      <c r="J637" s="792">
        <f t="shared" si="60"/>
        <v>0</v>
      </c>
      <c r="K637" s="792"/>
      <c r="L637" s="812"/>
      <c r="M637" s="792">
        <f t="shared" si="54"/>
        <v>0</v>
      </c>
      <c r="N637" s="812"/>
      <c r="O637" s="792">
        <f t="shared" si="55"/>
        <v>0</v>
      </c>
      <c r="P637" s="792">
        <f t="shared" si="56"/>
        <v>0</v>
      </c>
    </row>
    <row r="638" spans="3:16">
      <c r="C638" s="788">
        <f>IF(D617="","-",+C637+1)</f>
        <v>2030</v>
      </c>
      <c r="D638" s="736">
        <f t="shared" si="57"/>
        <v>12851972.123285709</v>
      </c>
      <c r="E638" s="789">
        <f t="shared" si="59"/>
        <v>626925.46942857141</v>
      </c>
      <c r="F638" s="789">
        <f t="shared" si="53"/>
        <v>12225046.653857138</v>
      </c>
      <c r="G638" s="736">
        <f t="shared" si="58"/>
        <v>12538509.388571423</v>
      </c>
      <c r="H638" s="794">
        <f>+J618*G638+E638</f>
        <v>2438788.1291719326</v>
      </c>
      <c r="I638" s="795">
        <f>+J619*G638+E638</f>
        <v>2438788.1291719326</v>
      </c>
      <c r="J638" s="792">
        <f t="shared" si="60"/>
        <v>0</v>
      </c>
      <c r="K638" s="792"/>
      <c r="L638" s="812"/>
      <c r="M638" s="792">
        <f t="shared" si="54"/>
        <v>0</v>
      </c>
      <c r="N638" s="812"/>
      <c r="O638" s="792">
        <f t="shared" si="55"/>
        <v>0</v>
      </c>
      <c r="P638" s="792">
        <f t="shared" si="56"/>
        <v>0</v>
      </c>
    </row>
    <row r="639" spans="3:16">
      <c r="C639" s="788">
        <f>IF(D617="","-",+C638+1)</f>
        <v>2031</v>
      </c>
      <c r="D639" s="736">
        <f t="shared" si="57"/>
        <v>12225046.653857138</v>
      </c>
      <c r="E639" s="789">
        <f t="shared" si="59"/>
        <v>626925.46942857141</v>
      </c>
      <c r="F639" s="789">
        <f t="shared" si="53"/>
        <v>11598121.184428567</v>
      </c>
      <c r="G639" s="736">
        <f t="shared" si="58"/>
        <v>11911583.919142853</v>
      </c>
      <c r="H639" s="794">
        <f>+J618*G639+E639</f>
        <v>2348194.9961847644</v>
      </c>
      <c r="I639" s="795">
        <f>+J619*G639+E639</f>
        <v>2348194.9961847644</v>
      </c>
      <c r="J639" s="792">
        <f t="shared" si="60"/>
        <v>0</v>
      </c>
      <c r="K639" s="792"/>
      <c r="L639" s="812"/>
      <c r="M639" s="792">
        <f t="shared" si="54"/>
        <v>0</v>
      </c>
      <c r="N639" s="812"/>
      <c r="O639" s="792">
        <f t="shared" si="55"/>
        <v>0</v>
      </c>
      <c r="P639" s="792">
        <f t="shared" si="56"/>
        <v>0</v>
      </c>
    </row>
    <row r="640" spans="3:16">
      <c r="C640" s="788">
        <f>IF(D617="","-",+C639+1)</f>
        <v>2032</v>
      </c>
      <c r="D640" s="736">
        <f t="shared" si="57"/>
        <v>11598121.184428567</v>
      </c>
      <c r="E640" s="789">
        <f t="shared" si="59"/>
        <v>626925.46942857141</v>
      </c>
      <c r="F640" s="789">
        <f t="shared" si="53"/>
        <v>10971195.714999996</v>
      </c>
      <c r="G640" s="736">
        <f t="shared" si="58"/>
        <v>11284658.449714281</v>
      </c>
      <c r="H640" s="794">
        <f>+J618*G640+E640</f>
        <v>2257601.8631975967</v>
      </c>
      <c r="I640" s="795">
        <f>+J619*G640+E640</f>
        <v>2257601.8631975967</v>
      </c>
      <c r="J640" s="792">
        <f t="shared" si="60"/>
        <v>0</v>
      </c>
      <c r="K640" s="792"/>
      <c r="L640" s="812"/>
      <c r="M640" s="792">
        <f t="shared" si="54"/>
        <v>0</v>
      </c>
      <c r="N640" s="812"/>
      <c r="O640" s="792">
        <f t="shared" si="55"/>
        <v>0</v>
      </c>
      <c r="P640" s="792">
        <f t="shared" si="56"/>
        <v>0</v>
      </c>
    </row>
    <row r="641" spans="3:16">
      <c r="C641" s="788">
        <f>IF(D617="","-",+C640+1)</f>
        <v>2033</v>
      </c>
      <c r="D641" s="736">
        <f t="shared" si="57"/>
        <v>10971195.714999996</v>
      </c>
      <c r="E641" s="789">
        <f t="shared" si="59"/>
        <v>626925.46942857141</v>
      </c>
      <c r="F641" s="789">
        <f t="shared" si="53"/>
        <v>10344270.245571425</v>
      </c>
      <c r="G641" s="736">
        <f t="shared" si="58"/>
        <v>10657732.980285712</v>
      </c>
      <c r="H641" s="794">
        <f>+J618*G641+E641</f>
        <v>2167008.7302104286</v>
      </c>
      <c r="I641" s="795">
        <f>+J619*G641+E641</f>
        <v>2167008.7302104286</v>
      </c>
      <c r="J641" s="792">
        <f t="shared" si="60"/>
        <v>0</v>
      </c>
      <c r="K641" s="792"/>
      <c r="L641" s="812"/>
      <c r="M641" s="792">
        <f t="shared" si="54"/>
        <v>0</v>
      </c>
      <c r="N641" s="812"/>
      <c r="O641" s="792">
        <f t="shared" si="55"/>
        <v>0</v>
      </c>
      <c r="P641" s="792">
        <f t="shared" si="56"/>
        <v>0</v>
      </c>
    </row>
    <row r="642" spans="3:16">
      <c r="C642" s="788">
        <f>IF(D617="","-",+C641+1)</f>
        <v>2034</v>
      </c>
      <c r="D642" s="736">
        <f t="shared" si="57"/>
        <v>10344270.245571425</v>
      </c>
      <c r="E642" s="789">
        <f t="shared" si="59"/>
        <v>626925.46942857141</v>
      </c>
      <c r="F642" s="789">
        <f t="shared" si="53"/>
        <v>9717344.7761428542</v>
      </c>
      <c r="G642" s="736">
        <f t="shared" si="58"/>
        <v>10030807.510857139</v>
      </c>
      <c r="H642" s="794">
        <f>+J618*G642+E642</f>
        <v>2076415.5972232604</v>
      </c>
      <c r="I642" s="795">
        <f>+J619*G642+E642</f>
        <v>2076415.5972232604</v>
      </c>
      <c r="J642" s="792">
        <f t="shared" si="60"/>
        <v>0</v>
      </c>
      <c r="K642" s="792"/>
      <c r="L642" s="812"/>
      <c r="M642" s="792">
        <f t="shared" si="54"/>
        <v>0</v>
      </c>
      <c r="N642" s="812"/>
      <c r="O642" s="792">
        <f t="shared" si="55"/>
        <v>0</v>
      </c>
      <c r="P642" s="792">
        <f t="shared" si="56"/>
        <v>0</v>
      </c>
    </row>
    <row r="643" spans="3:16">
      <c r="C643" s="788">
        <f>IF(D617="","-",+C642+1)</f>
        <v>2035</v>
      </c>
      <c r="D643" s="736">
        <f t="shared" si="57"/>
        <v>9717344.7761428542</v>
      </c>
      <c r="E643" s="789">
        <f t="shared" si="59"/>
        <v>626925.46942857141</v>
      </c>
      <c r="F643" s="789">
        <f t="shared" si="53"/>
        <v>9090419.3067142833</v>
      </c>
      <c r="G643" s="736">
        <f t="shared" si="58"/>
        <v>9403882.0414285697</v>
      </c>
      <c r="H643" s="794">
        <f>+J618*G643+E643</f>
        <v>1985822.4642360928</v>
      </c>
      <c r="I643" s="795">
        <f>+J619*G643+E643</f>
        <v>1985822.4642360928</v>
      </c>
      <c r="J643" s="792">
        <f t="shared" si="60"/>
        <v>0</v>
      </c>
      <c r="K643" s="792"/>
      <c r="L643" s="812"/>
      <c r="M643" s="792">
        <f t="shared" si="54"/>
        <v>0</v>
      </c>
      <c r="N643" s="812"/>
      <c r="O643" s="792">
        <f t="shared" si="55"/>
        <v>0</v>
      </c>
      <c r="P643" s="792">
        <f t="shared" si="56"/>
        <v>0</v>
      </c>
    </row>
    <row r="644" spans="3:16">
      <c r="C644" s="788">
        <f>IF(D617="","-",+C643+1)</f>
        <v>2036</v>
      </c>
      <c r="D644" s="736">
        <f t="shared" si="57"/>
        <v>9090419.3067142833</v>
      </c>
      <c r="E644" s="789">
        <f t="shared" si="59"/>
        <v>626925.46942857141</v>
      </c>
      <c r="F644" s="789">
        <f t="shared" si="53"/>
        <v>8463493.8372857124</v>
      </c>
      <c r="G644" s="736">
        <f t="shared" si="58"/>
        <v>8776956.5719999969</v>
      </c>
      <c r="H644" s="794">
        <f>+J618*G644+E644</f>
        <v>1895229.3312489244</v>
      </c>
      <c r="I644" s="795">
        <f>+J619*G644+E644</f>
        <v>1895229.3312489244</v>
      </c>
      <c r="J644" s="792">
        <f t="shared" si="60"/>
        <v>0</v>
      </c>
      <c r="K644" s="792"/>
      <c r="L644" s="812"/>
      <c r="M644" s="792">
        <f t="shared" si="54"/>
        <v>0</v>
      </c>
      <c r="N644" s="812"/>
      <c r="O644" s="792">
        <f t="shared" si="55"/>
        <v>0</v>
      </c>
      <c r="P644" s="792">
        <f t="shared" si="56"/>
        <v>0</v>
      </c>
    </row>
    <row r="645" spans="3:16">
      <c r="C645" s="788">
        <f>IF(D617="","-",+C644+1)</f>
        <v>2037</v>
      </c>
      <c r="D645" s="736">
        <f t="shared" si="57"/>
        <v>8463493.8372857124</v>
      </c>
      <c r="E645" s="789">
        <f t="shared" si="59"/>
        <v>626925.46942857141</v>
      </c>
      <c r="F645" s="789">
        <f t="shared" si="53"/>
        <v>7836568.3678571414</v>
      </c>
      <c r="G645" s="736">
        <f t="shared" si="58"/>
        <v>8150031.1025714269</v>
      </c>
      <c r="H645" s="794">
        <f>+J618*G645+E645</f>
        <v>1804636.1982617564</v>
      </c>
      <c r="I645" s="795">
        <f>+J619*G645+E645</f>
        <v>1804636.1982617564</v>
      </c>
      <c r="J645" s="792">
        <f t="shared" si="60"/>
        <v>0</v>
      </c>
      <c r="K645" s="792"/>
      <c r="L645" s="812"/>
      <c r="M645" s="792">
        <f t="shared" si="54"/>
        <v>0</v>
      </c>
      <c r="N645" s="812"/>
      <c r="O645" s="792">
        <f t="shared" si="55"/>
        <v>0</v>
      </c>
      <c r="P645" s="792">
        <f t="shared" si="56"/>
        <v>0</v>
      </c>
    </row>
    <row r="646" spans="3:16">
      <c r="C646" s="788">
        <f>IF(D617="","-",+C645+1)</f>
        <v>2038</v>
      </c>
      <c r="D646" s="736">
        <f t="shared" si="57"/>
        <v>7836568.3678571414</v>
      </c>
      <c r="E646" s="789">
        <f t="shared" si="59"/>
        <v>626925.46942857141</v>
      </c>
      <c r="F646" s="789">
        <f t="shared" si="53"/>
        <v>7209642.8984285705</v>
      </c>
      <c r="G646" s="736">
        <f t="shared" si="58"/>
        <v>7523105.6331428559</v>
      </c>
      <c r="H646" s="794">
        <f>+J618*G646+E646</f>
        <v>1714043.0652745885</v>
      </c>
      <c r="I646" s="795">
        <f>+J619*G646+E646</f>
        <v>1714043.0652745885</v>
      </c>
      <c r="J646" s="792">
        <f t="shared" si="60"/>
        <v>0</v>
      </c>
      <c r="K646" s="792"/>
      <c r="L646" s="812"/>
      <c r="M646" s="792">
        <f t="shared" si="54"/>
        <v>0</v>
      </c>
      <c r="N646" s="812"/>
      <c r="O646" s="792">
        <f t="shared" si="55"/>
        <v>0</v>
      </c>
      <c r="P646" s="792">
        <f t="shared" si="56"/>
        <v>0</v>
      </c>
    </row>
    <row r="647" spans="3:16">
      <c r="C647" s="788">
        <f>IF(D617="","-",+C646+1)</f>
        <v>2039</v>
      </c>
      <c r="D647" s="736">
        <f t="shared" si="57"/>
        <v>7209642.8984285705</v>
      </c>
      <c r="E647" s="789">
        <f t="shared" si="59"/>
        <v>626925.46942857141</v>
      </c>
      <c r="F647" s="789">
        <f t="shared" si="53"/>
        <v>6582717.4289999995</v>
      </c>
      <c r="G647" s="736">
        <f t="shared" si="58"/>
        <v>6896180.163714285</v>
      </c>
      <c r="H647" s="794">
        <f>+J618*G647+E647</f>
        <v>1623449.9322874204</v>
      </c>
      <c r="I647" s="795">
        <f>+J619*G647+E647</f>
        <v>1623449.9322874204</v>
      </c>
      <c r="J647" s="792">
        <f t="shared" si="60"/>
        <v>0</v>
      </c>
      <c r="K647" s="792"/>
      <c r="L647" s="812"/>
      <c r="M647" s="792">
        <f t="shared" si="54"/>
        <v>0</v>
      </c>
      <c r="N647" s="812"/>
      <c r="O647" s="792">
        <f t="shared" si="55"/>
        <v>0</v>
      </c>
      <c r="P647" s="792">
        <f t="shared" si="56"/>
        <v>0</v>
      </c>
    </row>
    <row r="648" spans="3:16">
      <c r="C648" s="788">
        <f>IF(D617="","-",+C647+1)</f>
        <v>2040</v>
      </c>
      <c r="D648" s="736">
        <f t="shared" si="57"/>
        <v>6582717.4289999995</v>
      </c>
      <c r="E648" s="789">
        <f t="shared" si="59"/>
        <v>626925.46942857141</v>
      </c>
      <c r="F648" s="789">
        <f t="shared" si="53"/>
        <v>5955791.9595714286</v>
      </c>
      <c r="G648" s="736">
        <f t="shared" si="58"/>
        <v>6269254.6942857141</v>
      </c>
      <c r="H648" s="794">
        <f>+J618*G648+E648</f>
        <v>1532856.7993002525</v>
      </c>
      <c r="I648" s="795">
        <f>+J619*G648+E648</f>
        <v>1532856.7993002525</v>
      </c>
      <c r="J648" s="792">
        <f t="shared" si="60"/>
        <v>0</v>
      </c>
      <c r="K648" s="792"/>
      <c r="L648" s="812"/>
      <c r="M648" s="792">
        <f t="shared" si="54"/>
        <v>0</v>
      </c>
      <c r="N648" s="812"/>
      <c r="O648" s="792">
        <f t="shared" si="55"/>
        <v>0</v>
      </c>
      <c r="P648" s="792">
        <f t="shared" si="56"/>
        <v>0</v>
      </c>
    </row>
    <row r="649" spans="3:16">
      <c r="C649" s="788">
        <f>IF(D617="","-",+C648+1)</f>
        <v>2041</v>
      </c>
      <c r="D649" s="736">
        <f t="shared" si="57"/>
        <v>5955791.9595714286</v>
      </c>
      <c r="E649" s="789">
        <f t="shared" si="59"/>
        <v>626925.46942857141</v>
      </c>
      <c r="F649" s="789">
        <f t="shared" si="53"/>
        <v>5328866.4901428577</v>
      </c>
      <c r="G649" s="736">
        <f t="shared" si="58"/>
        <v>5642329.2248571431</v>
      </c>
      <c r="H649" s="794">
        <f>+J618*G649+E649</f>
        <v>1442263.6663130843</v>
      </c>
      <c r="I649" s="795">
        <f>+J619*G649+E649</f>
        <v>1442263.6663130843</v>
      </c>
      <c r="J649" s="792">
        <f t="shared" si="60"/>
        <v>0</v>
      </c>
      <c r="K649" s="792"/>
      <c r="L649" s="812"/>
      <c r="M649" s="792">
        <f t="shared" si="54"/>
        <v>0</v>
      </c>
      <c r="N649" s="812"/>
      <c r="O649" s="792">
        <f t="shared" si="55"/>
        <v>0</v>
      </c>
      <c r="P649" s="792">
        <f t="shared" si="56"/>
        <v>0</v>
      </c>
    </row>
    <row r="650" spans="3:16">
      <c r="C650" s="788">
        <f>IF(D617="","-",+C649+1)</f>
        <v>2042</v>
      </c>
      <c r="D650" s="736">
        <f t="shared" si="57"/>
        <v>5328866.4901428577</v>
      </c>
      <c r="E650" s="789">
        <f t="shared" si="59"/>
        <v>626925.46942857141</v>
      </c>
      <c r="F650" s="789">
        <f t="shared" si="53"/>
        <v>4701941.0207142867</v>
      </c>
      <c r="G650" s="736">
        <f t="shared" si="58"/>
        <v>5015403.7554285722</v>
      </c>
      <c r="H650" s="794">
        <f>+J618*G650+E650</f>
        <v>1351670.5333259162</v>
      </c>
      <c r="I650" s="795">
        <f>+J619*G650+E650</f>
        <v>1351670.5333259162</v>
      </c>
      <c r="J650" s="792">
        <f t="shared" si="60"/>
        <v>0</v>
      </c>
      <c r="K650" s="792"/>
      <c r="L650" s="812"/>
      <c r="M650" s="792">
        <f t="shared" si="54"/>
        <v>0</v>
      </c>
      <c r="N650" s="812"/>
      <c r="O650" s="792">
        <f t="shared" si="55"/>
        <v>0</v>
      </c>
      <c r="P650" s="792">
        <f t="shared" si="56"/>
        <v>0</v>
      </c>
    </row>
    <row r="651" spans="3:16">
      <c r="C651" s="788">
        <f>IF(D617="","-",+C650+1)</f>
        <v>2043</v>
      </c>
      <c r="D651" s="736">
        <f t="shared" si="57"/>
        <v>4701941.0207142867</v>
      </c>
      <c r="E651" s="789">
        <f t="shared" si="59"/>
        <v>626925.46942857141</v>
      </c>
      <c r="F651" s="789">
        <f t="shared" si="53"/>
        <v>4075015.5512857153</v>
      </c>
      <c r="G651" s="736">
        <f t="shared" si="58"/>
        <v>4388478.2860000012</v>
      </c>
      <c r="H651" s="794">
        <f>+J618*G651+E651</f>
        <v>1261077.4003387482</v>
      </c>
      <c r="I651" s="795">
        <f>+J619*G651+E651</f>
        <v>1261077.4003387482</v>
      </c>
      <c r="J651" s="792">
        <f t="shared" si="60"/>
        <v>0</v>
      </c>
      <c r="K651" s="792"/>
      <c r="L651" s="812"/>
      <c r="M651" s="792">
        <f t="shared" si="54"/>
        <v>0</v>
      </c>
      <c r="N651" s="812"/>
      <c r="O651" s="792">
        <f t="shared" si="55"/>
        <v>0</v>
      </c>
      <c r="P651" s="792">
        <f t="shared" si="56"/>
        <v>0</v>
      </c>
    </row>
    <row r="652" spans="3:16">
      <c r="C652" s="788">
        <f>IF(D617="","-",+C651+1)</f>
        <v>2044</v>
      </c>
      <c r="D652" s="736">
        <f t="shared" si="57"/>
        <v>4075015.5512857153</v>
      </c>
      <c r="E652" s="789">
        <f t="shared" si="59"/>
        <v>626925.46942857141</v>
      </c>
      <c r="F652" s="789">
        <f t="shared" si="53"/>
        <v>3448090.0818571439</v>
      </c>
      <c r="G652" s="736">
        <f t="shared" si="58"/>
        <v>3761552.8165714294</v>
      </c>
      <c r="H652" s="794">
        <f>+J618*G652+E652</f>
        <v>1170484.2673515801</v>
      </c>
      <c r="I652" s="795">
        <f>+J619*G652+E652</f>
        <v>1170484.2673515801</v>
      </c>
      <c r="J652" s="792">
        <f t="shared" si="60"/>
        <v>0</v>
      </c>
      <c r="K652" s="792"/>
      <c r="L652" s="812"/>
      <c r="M652" s="792">
        <f t="shared" si="54"/>
        <v>0</v>
      </c>
      <c r="N652" s="812"/>
      <c r="O652" s="792">
        <f t="shared" si="55"/>
        <v>0</v>
      </c>
      <c r="P652" s="792">
        <f t="shared" si="56"/>
        <v>0</v>
      </c>
    </row>
    <row r="653" spans="3:16">
      <c r="C653" s="788">
        <f>IF(D617="","-",+C652+1)</f>
        <v>2045</v>
      </c>
      <c r="D653" s="736">
        <f t="shared" si="57"/>
        <v>3448090.0818571439</v>
      </c>
      <c r="E653" s="789">
        <f t="shared" si="59"/>
        <v>626925.46942857141</v>
      </c>
      <c r="F653" s="789">
        <f t="shared" si="53"/>
        <v>2821164.6124285725</v>
      </c>
      <c r="G653" s="736">
        <f t="shared" si="58"/>
        <v>3134627.3471428584</v>
      </c>
      <c r="H653" s="794">
        <f>+J618*G653+E653</f>
        <v>1079891.1343644122</v>
      </c>
      <c r="I653" s="795">
        <f>+J619*G653+E653</f>
        <v>1079891.1343644122</v>
      </c>
      <c r="J653" s="792">
        <f t="shared" si="60"/>
        <v>0</v>
      </c>
      <c r="K653" s="792"/>
      <c r="L653" s="812"/>
      <c r="M653" s="792">
        <f t="shared" si="54"/>
        <v>0</v>
      </c>
      <c r="N653" s="812"/>
      <c r="O653" s="792">
        <f t="shared" si="55"/>
        <v>0</v>
      </c>
      <c r="P653" s="792">
        <f t="shared" si="56"/>
        <v>0</v>
      </c>
    </row>
    <row r="654" spans="3:16">
      <c r="C654" s="788">
        <f>IF(D617="","-",+C653+1)</f>
        <v>2046</v>
      </c>
      <c r="D654" s="736">
        <f t="shared" si="57"/>
        <v>2821164.6124285725</v>
      </c>
      <c r="E654" s="789">
        <f t="shared" si="59"/>
        <v>626925.46942857141</v>
      </c>
      <c r="F654" s="789">
        <f t="shared" si="53"/>
        <v>2194239.1430000011</v>
      </c>
      <c r="G654" s="736">
        <f t="shared" si="58"/>
        <v>2507701.8777142866</v>
      </c>
      <c r="H654" s="794">
        <f>+J618*G654+E654</f>
        <v>989298.0013772439</v>
      </c>
      <c r="I654" s="795">
        <f>+J619*G654+E654</f>
        <v>989298.0013772439</v>
      </c>
      <c r="J654" s="792">
        <f t="shared" si="60"/>
        <v>0</v>
      </c>
      <c r="K654" s="792"/>
      <c r="L654" s="812"/>
      <c r="M654" s="792">
        <f t="shared" si="54"/>
        <v>0</v>
      </c>
      <c r="N654" s="812"/>
      <c r="O654" s="792">
        <f t="shared" si="55"/>
        <v>0</v>
      </c>
      <c r="P654" s="792">
        <f t="shared" si="56"/>
        <v>0</v>
      </c>
    </row>
    <row r="655" spans="3:16">
      <c r="C655" s="788">
        <f>IF(D617="","-",+C654+1)</f>
        <v>2047</v>
      </c>
      <c r="D655" s="736">
        <f t="shared" si="57"/>
        <v>2194239.1430000011</v>
      </c>
      <c r="E655" s="789">
        <f t="shared" si="59"/>
        <v>626925.46942857141</v>
      </c>
      <c r="F655" s="789">
        <f t="shared" si="53"/>
        <v>1567313.6735714297</v>
      </c>
      <c r="G655" s="736">
        <f t="shared" si="58"/>
        <v>1880776.4082857154</v>
      </c>
      <c r="H655" s="794">
        <f>+J618*G655+E655</f>
        <v>898704.86839007586</v>
      </c>
      <c r="I655" s="795">
        <f>+J619*G655+E655</f>
        <v>898704.86839007586</v>
      </c>
      <c r="J655" s="792">
        <f t="shared" si="60"/>
        <v>0</v>
      </c>
      <c r="K655" s="792"/>
      <c r="L655" s="812"/>
      <c r="M655" s="792">
        <f t="shared" si="54"/>
        <v>0</v>
      </c>
      <c r="N655" s="812"/>
      <c r="O655" s="792">
        <f t="shared" si="55"/>
        <v>0</v>
      </c>
      <c r="P655" s="792">
        <f t="shared" si="56"/>
        <v>0</v>
      </c>
    </row>
    <row r="656" spans="3:16">
      <c r="C656" s="788">
        <f>IF(D617="","-",+C655+1)</f>
        <v>2048</v>
      </c>
      <c r="D656" s="736">
        <f t="shared" si="57"/>
        <v>1567313.6735714297</v>
      </c>
      <c r="E656" s="789">
        <f t="shared" si="59"/>
        <v>626925.46942857141</v>
      </c>
      <c r="F656" s="789">
        <f t="shared" si="53"/>
        <v>940388.20414285827</v>
      </c>
      <c r="G656" s="736">
        <f t="shared" si="58"/>
        <v>1253850.938857144</v>
      </c>
      <c r="H656" s="794">
        <f>+J618*G656+E656</f>
        <v>808111.73540290771</v>
      </c>
      <c r="I656" s="795">
        <f>+J619*G656+E656</f>
        <v>808111.73540290771</v>
      </c>
      <c r="J656" s="792">
        <f t="shared" si="60"/>
        <v>0</v>
      </c>
      <c r="K656" s="792"/>
      <c r="L656" s="812"/>
      <c r="M656" s="792">
        <f t="shared" si="54"/>
        <v>0</v>
      </c>
      <c r="N656" s="812"/>
      <c r="O656" s="792">
        <f t="shared" si="55"/>
        <v>0</v>
      </c>
      <c r="P656" s="792">
        <f t="shared" si="56"/>
        <v>0</v>
      </c>
    </row>
    <row r="657" spans="3:16">
      <c r="C657" s="788">
        <f>IF(D617="","-",+C656+1)</f>
        <v>2049</v>
      </c>
      <c r="D657" s="736">
        <f t="shared" si="57"/>
        <v>940388.20414285827</v>
      </c>
      <c r="E657" s="789">
        <f t="shared" si="59"/>
        <v>626925.46942857141</v>
      </c>
      <c r="F657" s="789">
        <f t="shared" si="53"/>
        <v>313462.73471428687</v>
      </c>
      <c r="G657" s="736">
        <f t="shared" si="58"/>
        <v>626925.46942857257</v>
      </c>
      <c r="H657" s="794">
        <f>+J618*G657+E657</f>
        <v>717518.60241573968</v>
      </c>
      <c r="I657" s="795">
        <f>+J619*G657+E657</f>
        <v>717518.60241573968</v>
      </c>
      <c r="J657" s="792">
        <f t="shared" si="60"/>
        <v>0</v>
      </c>
      <c r="K657" s="792"/>
      <c r="L657" s="812"/>
      <c r="M657" s="792">
        <f t="shared" si="54"/>
        <v>0</v>
      </c>
      <c r="N657" s="812"/>
      <c r="O657" s="792">
        <f t="shared" si="55"/>
        <v>0</v>
      </c>
      <c r="P657" s="792">
        <f t="shared" si="56"/>
        <v>0</v>
      </c>
    </row>
    <row r="658" spans="3:16">
      <c r="C658" s="788">
        <f>IF(D617="","-",+C657+1)</f>
        <v>2050</v>
      </c>
      <c r="D658" s="736">
        <f t="shared" si="57"/>
        <v>313462.73471428687</v>
      </c>
      <c r="E658" s="789">
        <f t="shared" si="59"/>
        <v>313462.73471428687</v>
      </c>
      <c r="F658" s="789">
        <f t="shared" si="53"/>
        <v>0</v>
      </c>
      <c r="G658" s="736">
        <f t="shared" si="58"/>
        <v>156731.36735714343</v>
      </c>
      <c r="H658" s="794">
        <f>+J618*G658+E658</f>
        <v>336111.01796107896</v>
      </c>
      <c r="I658" s="795">
        <f>+J619*G658+E658</f>
        <v>336111.01796107896</v>
      </c>
      <c r="J658" s="792">
        <f t="shared" si="60"/>
        <v>0</v>
      </c>
      <c r="K658" s="792"/>
      <c r="L658" s="812"/>
      <c r="M658" s="792">
        <f t="shared" si="54"/>
        <v>0</v>
      </c>
      <c r="N658" s="812"/>
      <c r="O658" s="792">
        <f t="shared" si="55"/>
        <v>0</v>
      </c>
      <c r="P658" s="792">
        <f t="shared" si="56"/>
        <v>0</v>
      </c>
    </row>
    <row r="659" spans="3:16">
      <c r="C659" s="788">
        <f>IF(D617="","-",+C658+1)</f>
        <v>2051</v>
      </c>
      <c r="D659" s="736">
        <f t="shared" si="57"/>
        <v>0</v>
      </c>
      <c r="E659" s="789">
        <f t="shared" si="59"/>
        <v>0</v>
      </c>
      <c r="F659" s="789">
        <f t="shared" si="53"/>
        <v>0</v>
      </c>
      <c r="G659" s="736">
        <f t="shared" si="58"/>
        <v>0</v>
      </c>
      <c r="H659" s="794">
        <f>+J618*G659+E659</f>
        <v>0</v>
      </c>
      <c r="I659" s="795">
        <f>+J619*G659+E659</f>
        <v>0</v>
      </c>
      <c r="J659" s="792">
        <f t="shared" si="60"/>
        <v>0</v>
      </c>
      <c r="K659" s="792"/>
      <c r="L659" s="812"/>
      <c r="M659" s="792">
        <f t="shared" si="54"/>
        <v>0</v>
      </c>
      <c r="N659" s="812"/>
      <c r="O659" s="792">
        <f t="shared" si="55"/>
        <v>0</v>
      </c>
      <c r="P659" s="792">
        <f t="shared" si="56"/>
        <v>0</v>
      </c>
    </row>
    <row r="660" spans="3:16">
      <c r="C660" s="788">
        <f>IF(D617="","-",+C659+1)</f>
        <v>2052</v>
      </c>
      <c r="D660" s="736">
        <f t="shared" si="57"/>
        <v>0</v>
      </c>
      <c r="E660" s="789">
        <f t="shared" si="59"/>
        <v>0</v>
      </c>
      <c r="F660" s="789">
        <f t="shared" si="53"/>
        <v>0</v>
      </c>
      <c r="G660" s="736">
        <f t="shared" si="58"/>
        <v>0</v>
      </c>
      <c r="H660" s="794">
        <f>+J618*G660+E660</f>
        <v>0</v>
      </c>
      <c r="I660" s="795">
        <f>+J619*G660+E660</f>
        <v>0</v>
      </c>
      <c r="J660" s="792">
        <f t="shared" si="60"/>
        <v>0</v>
      </c>
      <c r="K660" s="792"/>
      <c r="L660" s="812"/>
      <c r="M660" s="792">
        <f t="shared" si="54"/>
        <v>0</v>
      </c>
      <c r="N660" s="812"/>
      <c r="O660" s="792">
        <f t="shared" si="55"/>
        <v>0</v>
      </c>
      <c r="P660" s="792">
        <f t="shared" si="56"/>
        <v>0</v>
      </c>
    </row>
    <row r="661" spans="3:16">
      <c r="C661" s="788">
        <f>IF(D617="","-",+C660+1)</f>
        <v>2053</v>
      </c>
      <c r="D661" s="736">
        <f t="shared" si="57"/>
        <v>0</v>
      </c>
      <c r="E661" s="789">
        <f t="shared" si="59"/>
        <v>0</v>
      </c>
      <c r="F661" s="789">
        <f t="shared" si="53"/>
        <v>0</v>
      </c>
      <c r="G661" s="736">
        <f t="shared" si="58"/>
        <v>0</v>
      </c>
      <c r="H661" s="794">
        <f>+J618*G661+E661</f>
        <v>0</v>
      </c>
      <c r="I661" s="795">
        <f>+J619*G661+E661</f>
        <v>0</v>
      </c>
      <c r="J661" s="792">
        <f t="shared" si="60"/>
        <v>0</v>
      </c>
      <c r="K661" s="792"/>
      <c r="L661" s="812"/>
      <c r="M661" s="792">
        <f t="shared" si="54"/>
        <v>0</v>
      </c>
      <c r="N661" s="812"/>
      <c r="O661" s="792">
        <f t="shared" si="55"/>
        <v>0</v>
      </c>
      <c r="P661" s="792">
        <f t="shared" si="56"/>
        <v>0</v>
      </c>
    </row>
    <row r="662" spans="3:16">
      <c r="C662" s="788">
        <f>IF(D617="","-",+C661+1)</f>
        <v>2054</v>
      </c>
      <c r="D662" s="736">
        <f t="shared" si="57"/>
        <v>0</v>
      </c>
      <c r="E662" s="789">
        <f t="shared" si="59"/>
        <v>0</v>
      </c>
      <c r="F662" s="789">
        <f t="shared" si="53"/>
        <v>0</v>
      </c>
      <c r="G662" s="736">
        <f t="shared" si="58"/>
        <v>0</v>
      </c>
      <c r="H662" s="794">
        <f>+J618*G662+E662</f>
        <v>0</v>
      </c>
      <c r="I662" s="795">
        <f>+J619*G662+E662</f>
        <v>0</v>
      </c>
      <c r="J662" s="792">
        <f t="shared" si="60"/>
        <v>0</v>
      </c>
      <c r="K662" s="792"/>
      <c r="L662" s="812"/>
      <c r="M662" s="792">
        <f t="shared" si="54"/>
        <v>0</v>
      </c>
      <c r="N662" s="812"/>
      <c r="O662" s="792">
        <f t="shared" si="55"/>
        <v>0</v>
      </c>
      <c r="P662" s="792">
        <f t="shared" si="56"/>
        <v>0</v>
      </c>
    </row>
    <row r="663" spans="3:16">
      <c r="C663" s="788">
        <f>IF(D617="","-",+C662+1)</f>
        <v>2055</v>
      </c>
      <c r="D663" s="736">
        <f t="shared" si="57"/>
        <v>0</v>
      </c>
      <c r="E663" s="789">
        <f t="shared" si="59"/>
        <v>0</v>
      </c>
      <c r="F663" s="789">
        <f t="shared" si="53"/>
        <v>0</v>
      </c>
      <c r="G663" s="736">
        <f t="shared" si="58"/>
        <v>0</v>
      </c>
      <c r="H663" s="794">
        <f>+J618*G663+E663</f>
        <v>0</v>
      </c>
      <c r="I663" s="795">
        <f>+J619*G663+E663</f>
        <v>0</v>
      </c>
      <c r="J663" s="792">
        <f t="shared" si="60"/>
        <v>0</v>
      </c>
      <c r="K663" s="792"/>
      <c r="L663" s="812"/>
      <c r="M663" s="792">
        <f t="shared" si="54"/>
        <v>0</v>
      </c>
      <c r="N663" s="812"/>
      <c r="O663" s="792">
        <f t="shared" si="55"/>
        <v>0</v>
      </c>
      <c r="P663" s="792">
        <f t="shared" si="56"/>
        <v>0</v>
      </c>
    </row>
    <row r="664" spans="3:16">
      <c r="C664" s="788">
        <f>IF(D617="","-",+C663+1)</f>
        <v>2056</v>
      </c>
      <c r="D664" s="736">
        <f t="shared" si="57"/>
        <v>0</v>
      </c>
      <c r="E664" s="789">
        <f t="shared" si="59"/>
        <v>0</v>
      </c>
      <c r="F664" s="789">
        <f t="shared" si="53"/>
        <v>0</v>
      </c>
      <c r="G664" s="736">
        <f t="shared" si="58"/>
        <v>0</v>
      </c>
      <c r="H664" s="794">
        <f>+J618*G664+E664</f>
        <v>0</v>
      </c>
      <c r="I664" s="795">
        <f>+J619*G664+E664</f>
        <v>0</v>
      </c>
      <c r="J664" s="792">
        <f t="shared" si="60"/>
        <v>0</v>
      </c>
      <c r="K664" s="792"/>
      <c r="L664" s="812"/>
      <c r="M664" s="792">
        <f t="shared" si="54"/>
        <v>0</v>
      </c>
      <c r="N664" s="812"/>
      <c r="O664" s="792">
        <f t="shared" si="55"/>
        <v>0</v>
      </c>
      <c r="P664" s="792">
        <f t="shared" si="56"/>
        <v>0</v>
      </c>
    </row>
    <row r="665" spans="3:16">
      <c r="C665" s="788">
        <f>IF(D617="","-",+C664+1)</f>
        <v>2057</v>
      </c>
      <c r="D665" s="736">
        <f t="shared" si="57"/>
        <v>0</v>
      </c>
      <c r="E665" s="789">
        <f t="shared" si="59"/>
        <v>0</v>
      </c>
      <c r="F665" s="789">
        <f t="shared" si="53"/>
        <v>0</v>
      </c>
      <c r="G665" s="736">
        <f t="shared" si="58"/>
        <v>0</v>
      </c>
      <c r="H665" s="794">
        <f>+J618*G665+E665</f>
        <v>0</v>
      </c>
      <c r="I665" s="795">
        <f>+J619*G665+E665</f>
        <v>0</v>
      </c>
      <c r="J665" s="792">
        <f t="shared" si="60"/>
        <v>0</v>
      </c>
      <c r="K665" s="792"/>
      <c r="L665" s="812"/>
      <c r="M665" s="792">
        <f t="shared" si="54"/>
        <v>0</v>
      </c>
      <c r="N665" s="812"/>
      <c r="O665" s="792">
        <f t="shared" si="55"/>
        <v>0</v>
      </c>
      <c r="P665" s="792">
        <f t="shared" si="56"/>
        <v>0</v>
      </c>
    </row>
    <row r="666" spans="3:16">
      <c r="C666" s="788">
        <f>IF(D617="","-",+C665+1)</f>
        <v>2058</v>
      </c>
      <c r="D666" s="736">
        <f t="shared" si="57"/>
        <v>0</v>
      </c>
      <c r="E666" s="789">
        <f t="shared" si="59"/>
        <v>0</v>
      </c>
      <c r="F666" s="789">
        <f t="shared" si="53"/>
        <v>0</v>
      </c>
      <c r="G666" s="736">
        <f t="shared" si="58"/>
        <v>0</v>
      </c>
      <c r="H666" s="794">
        <f>+J618*G666+E666</f>
        <v>0</v>
      </c>
      <c r="I666" s="795">
        <f>+J619*G666+E666</f>
        <v>0</v>
      </c>
      <c r="J666" s="792">
        <f t="shared" si="60"/>
        <v>0</v>
      </c>
      <c r="K666" s="792"/>
      <c r="L666" s="812"/>
      <c r="M666" s="792">
        <f t="shared" si="54"/>
        <v>0</v>
      </c>
      <c r="N666" s="812"/>
      <c r="O666" s="792">
        <f t="shared" si="55"/>
        <v>0</v>
      </c>
      <c r="P666" s="792">
        <f t="shared" si="56"/>
        <v>0</v>
      </c>
    </row>
    <row r="667" spans="3:16">
      <c r="C667" s="788">
        <f>IF(D617="","-",+C666+1)</f>
        <v>2059</v>
      </c>
      <c r="D667" s="736">
        <f t="shared" si="57"/>
        <v>0</v>
      </c>
      <c r="E667" s="789">
        <f t="shared" si="59"/>
        <v>0</v>
      </c>
      <c r="F667" s="789">
        <f t="shared" si="53"/>
        <v>0</v>
      </c>
      <c r="G667" s="736">
        <f t="shared" si="58"/>
        <v>0</v>
      </c>
      <c r="H667" s="794">
        <f>+J618*G667+E667</f>
        <v>0</v>
      </c>
      <c r="I667" s="795">
        <f>+J619*G667+E667</f>
        <v>0</v>
      </c>
      <c r="J667" s="792">
        <f t="shared" si="60"/>
        <v>0</v>
      </c>
      <c r="K667" s="792"/>
      <c r="L667" s="812"/>
      <c r="M667" s="792">
        <f t="shared" si="54"/>
        <v>0</v>
      </c>
      <c r="N667" s="812"/>
      <c r="O667" s="792">
        <f t="shared" si="55"/>
        <v>0</v>
      </c>
      <c r="P667" s="792">
        <f t="shared" si="56"/>
        <v>0</v>
      </c>
    </row>
    <row r="668" spans="3:16">
      <c r="C668" s="788">
        <f>IF(D617="","-",+C667+1)</f>
        <v>2060</v>
      </c>
      <c r="D668" s="736">
        <f t="shared" si="57"/>
        <v>0</v>
      </c>
      <c r="E668" s="789">
        <f t="shared" si="59"/>
        <v>0</v>
      </c>
      <c r="F668" s="789">
        <f t="shared" si="53"/>
        <v>0</v>
      </c>
      <c r="G668" s="736">
        <f t="shared" si="58"/>
        <v>0</v>
      </c>
      <c r="H668" s="794">
        <f>+J618*G668+E668</f>
        <v>0</v>
      </c>
      <c r="I668" s="795">
        <f>+J619*G668+E668</f>
        <v>0</v>
      </c>
      <c r="J668" s="792">
        <f t="shared" si="60"/>
        <v>0</v>
      </c>
      <c r="K668" s="792"/>
      <c r="L668" s="812"/>
      <c r="M668" s="792">
        <f t="shared" si="54"/>
        <v>0</v>
      </c>
      <c r="N668" s="812"/>
      <c r="O668" s="792">
        <f t="shared" si="55"/>
        <v>0</v>
      </c>
      <c r="P668" s="792">
        <f t="shared" si="56"/>
        <v>0</v>
      </c>
    </row>
    <row r="669" spans="3:16">
      <c r="C669" s="788">
        <f>IF(D617="","-",+C668+1)</f>
        <v>2061</v>
      </c>
      <c r="D669" s="736">
        <f t="shared" si="57"/>
        <v>0</v>
      </c>
      <c r="E669" s="789">
        <f t="shared" si="59"/>
        <v>0</v>
      </c>
      <c r="F669" s="789">
        <f t="shared" si="53"/>
        <v>0</v>
      </c>
      <c r="G669" s="736">
        <f t="shared" si="58"/>
        <v>0</v>
      </c>
      <c r="H669" s="794">
        <f>+J618*G669+E669</f>
        <v>0</v>
      </c>
      <c r="I669" s="795">
        <f>+J619*G669+E669</f>
        <v>0</v>
      </c>
      <c r="J669" s="792">
        <f t="shared" si="60"/>
        <v>0</v>
      </c>
      <c r="K669" s="792"/>
      <c r="L669" s="812"/>
      <c r="M669" s="792">
        <f t="shared" si="54"/>
        <v>0</v>
      </c>
      <c r="N669" s="812"/>
      <c r="O669" s="792">
        <f t="shared" si="55"/>
        <v>0</v>
      </c>
      <c r="P669" s="792">
        <f t="shared" si="56"/>
        <v>0</v>
      </c>
    </row>
    <row r="670" spans="3:16">
      <c r="C670" s="788">
        <f>IF(D617="","-",+C669+1)</f>
        <v>2062</v>
      </c>
      <c r="D670" s="736">
        <f t="shared" si="57"/>
        <v>0</v>
      </c>
      <c r="E670" s="789">
        <f t="shared" si="59"/>
        <v>0</v>
      </c>
      <c r="F670" s="789">
        <f t="shared" si="53"/>
        <v>0</v>
      </c>
      <c r="G670" s="736">
        <f t="shared" si="58"/>
        <v>0</v>
      </c>
      <c r="H670" s="794">
        <f>+J618*G670+E670</f>
        <v>0</v>
      </c>
      <c r="I670" s="795">
        <f>+J619*G670+E670</f>
        <v>0</v>
      </c>
      <c r="J670" s="792">
        <f t="shared" si="60"/>
        <v>0</v>
      </c>
      <c r="K670" s="792"/>
      <c r="L670" s="812"/>
      <c r="M670" s="792">
        <f t="shared" si="54"/>
        <v>0</v>
      </c>
      <c r="N670" s="812"/>
      <c r="O670" s="792">
        <f t="shared" si="55"/>
        <v>0</v>
      </c>
      <c r="P670" s="792">
        <f t="shared" si="56"/>
        <v>0</v>
      </c>
    </row>
    <row r="671" spans="3:16">
      <c r="C671" s="788">
        <f>IF(D617="","-",+C670+1)</f>
        <v>2063</v>
      </c>
      <c r="D671" s="736">
        <f t="shared" si="57"/>
        <v>0</v>
      </c>
      <c r="E671" s="789">
        <f t="shared" si="59"/>
        <v>0</v>
      </c>
      <c r="F671" s="789">
        <f t="shared" si="53"/>
        <v>0</v>
      </c>
      <c r="G671" s="736">
        <f t="shared" si="58"/>
        <v>0</v>
      </c>
      <c r="H671" s="794">
        <f>+J618*G671+E671</f>
        <v>0</v>
      </c>
      <c r="I671" s="795">
        <f>+J619*G671+E671</f>
        <v>0</v>
      </c>
      <c r="J671" s="792">
        <f t="shared" si="60"/>
        <v>0</v>
      </c>
      <c r="K671" s="792"/>
      <c r="L671" s="812"/>
      <c r="M671" s="792">
        <f t="shared" si="54"/>
        <v>0</v>
      </c>
      <c r="N671" s="812"/>
      <c r="O671" s="792">
        <f t="shared" si="55"/>
        <v>0</v>
      </c>
      <c r="P671" s="792">
        <f t="shared" si="56"/>
        <v>0</v>
      </c>
    </row>
    <row r="672" spans="3:16">
      <c r="C672" s="788">
        <f>IF(D617="","-",+C671+1)</f>
        <v>2064</v>
      </c>
      <c r="D672" s="736">
        <f t="shared" si="57"/>
        <v>0</v>
      </c>
      <c r="E672" s="789">
        <f t="shared" si="59"/>
        <v>0</v>
      </c>
      <c r="F672" s="789">
        <f t="shared" si="53"/>
        <v>0</v>
      </c>
      <c r="G672" s="736">
        <f t="shared" si="58"/>
        <v>0</v>
      </c>
      <c r="H672" s="794">
        <f>+J618*G672+E672</f>
        <v>0</v>
      </c>
      <c r="I672" s="795">
        <f>+J619*G672+E672</f>
        <v>0</v>
      </c>
      <c r="J672" s="792">
        <f t="shared" si="60"/>
        <v>0</v>
      </c>
      <c r="K672" s="792"/>
      <c r="L672" s="812"/>
      <c r="M672" s="792">
        <f t="shared" si="54"/>
        <v>0</v>
      </c>
      <c r="N672" s="812"/>
      <c r="O672" s="792">
        <f t="shared" si="55"/>
        <v>0</v>
      </c>
      <c r="P672" s="792">
        <f t="shared" si="56"/>
        <v>0</v>
      </c>
    </row>
    <row r="673" spans="3:16">
      <c r="C673" s="788">
        <f>IF(D617="","-",+C672+1)</f>
        <v>2065</v>
      </c>
      <c r="D673" s="736">
        <f t="shared" si="57"/>
        <v>0</v>
      </c>
      <c r="E673" s="789">
        <f t="shared" si="59"/>
        <v>0</v>
      </c>
      <c r="F673" s="789">
        <f t="shared" si="53"/>
        <v>0</v>
      </c>
      <c r="G673" s="736">
        <f t="shared" si="58"/>
        <v>0</v>
      </c>
      <c r="H673" s="794">
        <f>+J618*G673+E673</f>
        <v>0</v>
      </c>
      <c r="I673" s="795">
        <f>+J619*G673+E673</f>
        <v>0</v>
      </c>
      <c r="J673" s="792">
        <f t="shared" si="60"/>
        <v>0</v>
      </c>
      <c r="K673" s="792"/>
      <c r="L673" s="812"/>
      <c r="M673" s="792">
        <f t="shared" si="54"/>
        <v>0</v>
      </c>
      <c r="N673" s="812"/>
      <c r="O673" s="792">
        <f t="shared" si="55"/>
        <v>0</v>
      </c>
      <c r="P673" s="792">
        <f t="shared" si="56"/>
        <v>0</v>
      </c>
    </row>
    <row r="674" spans="3:16">
      <c r="C674" s="788">
        <f>IF(D617="","-",+C673+1)</f>
        <v>2066</v>
      </c>
      <c r="D674" s="736">
        <f t="shared" si="57"/>
        <v>0</v>
      </c>
      <c r="E674" s="789">
        <f t="shared" si="59"/>
        <v>0</v>
      </c>
      <c r="F674" s="789">
        <f t="shared" si="53"/>
        <v>0</v>
      </c>
      <c r="G674" s="736">
        <f t="shared" si="58"/>
        <v>0</v>
      </c>
      <c r="H674" s="794">
        <f>+J618*G674+E674</f>
        <v>0</v>
      </c>
      <c r="I674" s="795">
        <f>+J619*G674+E674</f>
        <v>0</v>
      </c>
      <c r="J674" s="792">
        <f t="shared" si="60"/>
        <v>0</v>
      </c>
      <c r="K674" s="792"/>
      <c r="L674" s="812"/>
      <c r="M674" s="792">
        <f t="shared" si="54"/>
        <v>0</v>
      </c>
      <c r="N674" s="812"/>
      <c r="O674" s="792">
        <f t="shared" si="55"/>
        <v>0</v>
      </c>
      <c r="P674" s="792">
        <f t="shared" si="56"/>
        <v>0</v>
      </c>
    </row>
    <row r="675" spans="3:16">
      <c r="C675" s="788">
        <f>IF(D617="","-",+C674+1)</f>
        <v>2067</v>
      </c>
      <c r="D675" s="736">
        <f t="shared" si="57"/>
        <v>0</v>
      </c>
      <c r="E675" s="789">
        <f t="shared" si="59"/>
        <v>0</v>
      </c>
      <c r="F675" s="789">
        <f t="shared" si="53"/>
        <v>0</v>
      </c>
      <c r="G675" s="736">
        <f t="shared" si="58"/>
        <v>0</v>
      </c>
      <c r="H675" s="794">
        <f>+J618*G675+E675</f>
        <v>0</v>
      </c>
      <c r="I675" s="795">
        <f>+J619*G675+E675</f>
        <v>0</v>
      </c>
      <c r="J675" s="792">
        <f t="shared" si="60"/>
        <v>0</v>
      </c>
      <c r="K675" s="792"/>
      <c r="L675" s="812"/>
      <c r="M675" s="792">
        <f t="shared" si="54"/>
        <v>0</v>
      </c>
      <c r="N675" s="812"/>
      <c r="O675" s="792">
        <f t="shared" si="55"/>
        <v>0</v>
      </c>
      <c r="P675" s="792">
        <f t="shared" si="56"/>
        <v>0</v>
      </c>
    </row>
    <row r="676" spans="3:16">
      <c r="C676" s="788">
        <f>IF(D617="","-",+C675+1)</f>
        <v>2068</v>
      </c>
      <c r="D676" s="736">
        <f t="shared" si="57"/>
        <v>0</v>
      </c>
      <c r="E676" s="789">
        <f t="shared" si="59"/>
        <v>0</v>
      </c>
      <c r="F676" s="789">
        <f t="shared" si="53"/>
        <v>0</v>
      </c>
      <c r="G676" s="736">
        <f t="shared" si="58"/>
        <v>0</v>
      </c>
      <c r="H676" s="794">
        <f>+J618*G676+E676</f>
        <v>0</v>
      </c>
      <c r="I676" s="795">
        <f>+J619*G676+E676</f>
        <v>0</v>
      </c>
      <c r="J676" s="792">
        <f t="shared" si="60"/>
        <v>0</v>
      </c>
      <c r="K676" s="792"/>
      <c r="L676" s="812"/>
      <c r="M676" s="792">
        <f t="shared" si="54"/>
        <v>0</v>
      </c>
      <c r="N676" s="812"/>
      <c r="O676" s="792">
        <f t="shared" si="55"/>
        <v>0</v>
      </c>
      <c r="P676" s="792">
        <f t="shared" si="56"/>
        <v>0</v>
      </c>
    </row>
    <row r="677" spans="3:16">
      <c r="C677" s="788">
        <f>IF(D617="","-",+C676+1)</f>
        <v>2069</v>
      </c>
      <c r="D677" s="736">
        <f t="shared" si="57"/>
        <v>0</v>
      </c>
      <c r="E677" s="789">
        <f t="shared" si="59"/>
        <v>0</v>
      </c>
      <c r="F677" s="789">
        <f t="shared" si="53"/>
        <v>0</v>
      </c>
      <c r="G677" s="736">
        <f t="shared" si="58"/>
        <v>0</v>
      </c>
      <c r="H677" s="794">
        <f>+J618*G677+E677</f>
        <v>0</v>
      </c>
      <c r="I677" s="795">
        <f>+J619*G677+E677</f>
        <v>0</v>
      </c>
      <c r="J677" s="792">
        <f t="shared" si="60"/>
        <v>0</v>
      </c>
      <c r="K677" s="792"/>
      <c r="L677" s="812"/>
      <c r="M677" s="792">
        <f t="shared" si="54"/>
        <v>0</v>
      </c>
      <c r="N677" s="812"/>
      <c r="O677" s="792">
        <f t="shared" si="55"/>
        <v>0</v>
      </c>
      <c r="P677" s="792">
        <f t="shared" si="56"/>
        <v>0</v>
      </c>
    </row>
    <row r="678" spans="3:16">
      <c r="C678" s="788">
        <f>IF(D617="","-",+C677+1)</f>
        <v>2070</v>
      </c>
      <c r="D678" s="736">
        <f t="shared" si="57"/>
        <v>0</v>
      </c>
      <c r="E678" s="789">
        <f t="shared" si="59"/>
        <v>0</v>
      </c>
      <c r="F678" s="789">
        <f t="shared" si="53"/>
        <v>0</v>
      </c>
      <c r="G678" s="736">
        <f t="shared" si="58"/>
        <v>0</v>
      </c>
      <c r="H678" s="794">
        <f>+J618*G678+E678</f>
        <v>0</v>
      </c>
      <c r="I678" s="795">
        <f>+J619*G678+E678</f>
        <v>0</v>
      </c>
      <c r="J678" s="792">
        <f t="shared" si="60"/>
        <v>0</v>
      </c>
      <c r="K678" s="792"/>
      <c r="L678" s="812"/>
      <c r="M678" s="792">
        <f t="shared" si="54"/>
        <v>0</v>
      </c>
      <c r="N678" s="812"/>
      <c r="O678" s="792">
        <f t="shared" si="55"/>
        <v>0</v>
      </c>
      <c r="P678" s="792">
        <f t="shared" si="56"/>
        <v>0</v>
      </c>
    </row>
    <row r="679" spans="3:16">
      <c r="C679" s="788">
        <f>IF(D617="","-",+C678+1)</f>
        <v>2071</v>
      </c>
      <c r="D679" s="736">
        <f t="shared" si="57"/>
        <v>0</v>
      </c>
      <c r="E679" s="789">
        <f t="shared" si="59"/>
        <v>0</v>
      </c>
      <c r="F679" s="789">
        <f t="shared" si="53"/>
        <v>0</v>
      </c>
      <c r="G679" s="736">
        <f t="shared" si="58"/>
        <v>0</v>
      </c>
      <c r="H679" s="794">
        <f>+J618*G679+E679</f>
        <v>0</v>
      </c>
      <c r="I679" s="795">
        <f>+J619*G679+E679</f>
        <v>0</v>
      </c>
      <c r="J679" s="792">
        <f t="shared" si="60"/>
        <v>0</v>
      </c>
      <c r="K679" s="792"/>
      <c r="L679" s="812"/>
      <c r="M679" s="792">
        <f t="shared" si="54"/>
        <v>0</v>
      </c>
      <c r="N679" s="812"/>
      <c r="O679" s="792">
        <f t="shared" si="55"/>
        <v>0</v>
      </c>
      <c r="P679" s="792">
        <f t="shared" si="56"/>
        <v>0</v>
      </c>
    </row>
    <row r="680" spans="3:16">
      <c r="C680" s="788">
        <f>IF(D617="","-",+C679+1)</f>
        <v>2072</v>
      </c>
      <c r="D680" s="736">
        <f t="shared" si="57"/>
        <v>0</v>
      </c>
      <c r="E680" s="789">
        <f t="shared" si="59"/>
        <v>0</v>
      </c>
      <c r="F680" s="789">
        <f t="shared" si="53"/>
        <v>0</v>
      </c>
      <c r="G680" s="736">
        <f t="shared" si="58"/>
        <v>0</v>
      </c>
      <c r="H680" s="794">
        <f>+J618*G680+E680</f>
        <v>0</v>
      </c>
      <c r="I680" s="795">
        <f>+J619*G680+E680</f>
        <v>0</v>
      </c>
      <c r="J680" s="792">
        <f t="shared" si="60"/>
        <v>0</v>
      </c>
      <c r="K680" s="792"/>
      <c r="L680" s="812"/>
      <c r="M680" s="792">
        <f t="shared" si="54"/>
        <v>0</v>
      </c>
      <c r="N680" s="812"/>
      <c r="O680" s="792">
        <f t="shared" si="55"/>
        <v>0</v>
      </c>
      <c r="P680" s="792">
        <f t="shared" si="56"/>
        <v>0</v>
      </c>
    </row>
    <row r="681" spans="3:16">
      <c r="C681" s="788">
        <f>IF(D617="","-",+C680+1)</f>
        <v>2073</v>
      </c>
      <c r="D681" s="736">
        <f t="shared" si="57"/>
        <v>0</v>
      </c>
      <c r="E681" s="789">
        <f t="shared" si="59"/>
        <v>0</v>
      </c>
      <c r="F681" s="789">
        <f t="shared" si="53"/>
        <v>0</v>
      </c>
      <c r="G681" s="736">
        <f t="shared" si="58"/>
        <v>0</v>
      </c>
      <c r="H681" s="794">
        <f>+J618*G681+E681</f>
        <v>0</v>
      </c>
      <c r="I681" s="795">
        <f>+J619*G681+E681</f>
        <v>0</v>
      </c>
      <c r="J681" s="792">
        <f t="shared" si="60"/>
        <v>0</v>
      </c>
      <c r="K681" s="792"/>
      <c r="L681" s="812"/>
      <c r="M681" s="792">
        <f t="shared" si="54"/>
        <v>0</v>
      </c>
      <c r="N681" s="812"/>
      <c r="O681" s="792">
        <f t="shared" si="55"/>
        <v>0</v>
      </c>
      <c r="P681" s="792">
        <f t="shared" si="56"/>
        <v>0</v>
      </c>
    </row>
    <row r="682" spans="3:16" ht="13.5" thickBot="1">
      <c r="C682" s="798">
        <f>IF(D617="","-",+C681+1)</f>
        <v>2074</v>
      </c>
      <c r="D682" s="799">
        <f t="shared" si="57"/>
        <v>0</v>
      </c>
      <c r="E682" s="800">
        <f t="shared" si="59"/>
        <v>0</v>
      </c>
      <c r="F682" s="800">
        <f t="shared" si="53"/>
        <v>0</v>
      </c>
      <c r="G682" s="799">
        <f t="shared" si="58"/>
        <v>0</v>
      </c>
      <c r="H682" s="801">
        <f>+J618*G682+E682</f>
        <v>0</v>
      </c>
      <c r="I682" s="801">
        <f>+J619*G682+E682</f>
        <v>0</v>
      </c>
      <c r="J682" s="802">
        <f t="shared" si="60"/>
        <v>0</v>
      </c>
      <c r="K682" s="792"/>
      <c r="L682" s="813"/>
      <c r="M682" s="802">
        <f t="shared" si="54"/>
        <v>0</v>
      </c>
      <c r="N682" s="813"/>
      <c r="O682" s="802">
        <f t="shared" si="55"/>
        <v>0</v>
      </c>
      <c r="P682" s="802">
        <f t="shared" si="56"/>
        <v>0</v>
      </c>
    </row>
    <row r="683" spans="3:16">
      <c r="C683" s="736" t="s">
        <v>83</v>
      </c>
      <c r="D683" s="730"/>
      <c r="E683" s="730">
        <f>SUM(E623:E682)</f>
        <v>21942391.430000003</v>
      </c>
      <c r="F683" s="730"/>
      <c r="G683" s="730"/>
      <c r="H683" s="730">
        <f>SUM(H623:H682)</f>
        <v>79016065.21191588</v>
      </c>
      <c r="I683" s="730">
        <f>SUM(I623:I682)</f>
        <v>79016065.21191588</v>
      </c>
      <c r="J683" s="730">
        <f>SUM(J623:J682)</f>
        <v>0</v>
      </c>
      <c r="K683" s="730"/>
      <c r="L683" s="730"/>
      <c r="M683" s="730"/>
      <c r="N683" s="730"/>
      <c r="O683" s="730"/>
    </row>
    <row r="684" spans="3:16">
      <c r="D684" s="538"/>
      <c r="E684" s="313"/>
      <c r="F684" s="313"/>
      <c r="G684" s="313"/>
      <c r="H684" s="313"/>
      <c r="I684" s="708"/>
      <c r="J684" s="708"/>
      <c r="K684" s="730"/>
      <c r="L684" s="708"/>
      <c r="M684" s="708"/>
      <c r="N684" s="708"/>
      <c r="O684" s="708"/>
    </row>
    <row r="685" spans="3:16">
      <c r="C685" s="313" t="s">
        <v>13</v>
      </c>
      <c r="D685" s="538"/>
      <c r="E685" s="313"/>
      <c r="F685" s="313"/>
      <c r="G685" s="313"/>
      <c r="H685" s="313"/>
      <c r="I685" s="708"/>
      <c r="J685" s="708"/>
      <c r="K685" s="730"/>
      <c r="L685" s="708"/>
      <c r="M685" s="708"/>
      <c r="N685" s="708"/>
      <c r="O685" s="708"/>
    </row>
    <row r="686" spans="3:16">
      <c r="C686" s="313"/>
      <c r="D686" s="538"/>
      <c r="E686" s="313"/>
      <c r="F686" s="313"/>
      <c r="G686" s="313"/>
      <c r="H686" s="313"/>
      <c r="I686" s="708"/>
      <c r="J686" s="708"/>
      <c r="K686" s="730"/>
      <c r="L686" s="708"/>
      <c r="M686" s="708"/>
      <c r="N686" s="708"/>
      <c r="O686" s="708"/>
    </row>
    <row r="687" spans="3:16">
      <c r="C687" s="749" t="s">
        <v>14</v>
      </c>
      <c r="D687" s="736"/>
      <c r="E687" s="736"/>
      <c r="F687" s="736"/>
      <c r="G687" s="736"/>
      <c r="H687" s="730"/>
      <c r="I687" s="730"/>
      <c r="J687" s="804"/>
      <c r="K687" s="804"/>
      <c r="L687" s="804"/>
      <c r="M687" s="804"/>
      <c r="N687" s="804"/>
      <c r="O687" s="804"/>
    </row>
    <row r="688" spans="3:16">
      <c r="C688" s="735" t="s">
        <v>263</v>
      </c>
      <c r="D688" s="736"/>
      <c r="E688" s="736"/>
      <c r="F688" s="736"/>
      <c r="G688" s="736"/>
      <c r="H688" s="730"/>
      <c r="I688" s="730"/>
      <c r="J688" s="804"/>
      <c r="K688" s="804"/>
      <c r="L688" s="804"/>
      <c r="M688" s="804"/>
      <c r="N688" s="804"/>
      <c r="O688" s="804"/>
    </row>
    <row r="689" spans="1:17">
      <c r="C689" s="735" t="s">
        <v>84</v>
      </c>
      <c r="D689" s="736"/>
      <c r="E689" s="736"/>
      <c r="F689" s="736"/>
      <c r="G689" s="736"/>
      <c r="H689" s="730"/>
      <c r="I689" s="730"/>
      <c r="J689" s="804"/>
      <c r="K689" s="804"/>
      <c r="L689" s="804"/>
      <c r="M689" s="804"/>
      <c r="N689" s="804"/>
      <c r="O689" s="804"/>
    </row>
    <row r="691" spans="1:17" ht="20.25">
      <c r="A691" s="737" t="str">
        <f>""&amp;A616&amp;" Worksheet K -  ATRR TRUE-UP Calculation for PJM Projects Charged to Benefiting Zones"</f>
        <v xml:space="preserve"> Worksheet K -  ATRR TRUE-UP Calculation for PJM Projects Charged to Benefiting Zones</v>
      </c>
      <c r="B691" s="347"/>
      <c r="C691" s="725"/>
      <c r="D691" s="538"/>
      <c r="E691" s="313"/>
      <c r="F691" s="707"/>
      <c r="G691" s="707"/>
      <c r="H691" s="313"/>
      <c r="I691" s="708"/>
      <c r="L691" s="564"/>
      <c r="M691" s="564"/>
      <c r="N691" s="564"/>
      <c r="O691" s="653" t="str">
        <f>"Page "&amp;SUM(Q$8:Q691)&amp;" of "</f>
        <v xml:space="preserve">Page 9 of </v>
      </c>
      <c r="P691" s="654">
        <f>COUNT(Q$8:Q$57703)</f>
        <v>22</v>
      </c>
      <c r="Q691" s="655">
        <v>1</v>
      </c>
    </row>
    <row r="692" spans="1:17">
      <c r="B692" s="347"/>
      <c r="C692" s="313"/>
      <c r="D692" s="538"/>
      <c r="E692" s="313"/>
      <c r="F692" s="313"/>
      <c r="G692" s="313"/>
      <c r="H692" s="313"/>
      <c r="I692" s="708"/>
      <c r="J692" s="313"/>
      <c r="K692" s="426"/>
    </row>
    <row r="693" spans="1:17" ht="18">
      <c r="B693" s="657" t="s">
        <v>466</v>
      </c>
      <c r="C693" s="739" t="s">
        <v>85</v>
      </c>
      <c r="D693" s="538"/>
      <c r="E693" s="313"/>
      <c r="F693" s="313"/>
      <c r="G693" s="313"/>
      <c r="H693" s="313"/>
      <c r="I693" s="708"/>
      <c r="J693" s="708"/>
      <c r="K693" s="730"/>
      <c r="L693" s="708"/>
      <c r="M693" s="708"/>
      <c r="N693" s="708"/>
      <c r="O693" s="708"/>
    </row>
    <row r="694" spans="1:17" ht="18.75">
      <c r="B694" s="657"/>
      <c r="C694" s="656"/>
      <c r="D694" s="538"/>
      <c r="E694" s="313"/>
      <c r="F694" s="313"/>
      <c r="G694" s="313"/>
      <c r="H694" s="313"/>
      <c r="I694" s="708"/>
      <c r="J694" s="708"/>
      <c r="K694" s="730"/>
      <c r="L694" s="708"/>
      <c r="M694" s="708"/>
      <c r="N694" s="708"/>
      <c r="O694" s="708"/>
    </row>
    <row r="695" spans="1:17" ht="18.75">
      <c r="B695" s="657"/>
      <c r="C695" s="656" t="s">
        <v>86</v>
      </c>
      <c r="D695" s="538"/>
      <c r="E695" s="313"/>
      <c r="F695" s="313"/>
      <c r="G695" s="313"/>
      <c r="H695" s="313"/>
      <c r="I695" s="708"/>
      <c r="J695" s="708"/>
      <c r="K695" s="730"/>
      <c r="L695" s="708"/>
      <c r="M695" s="708"/>
      <c r="N695" s="708"/>
      <c r="O695" s="708"/>
    </row>
    <row r="696" spans="1:17" ht="15.75" thickBot="1">
      <c r="C696" s="239"/>
      <c r="D696" s="538"/>
      <c r="E696" s="313"/>
      <c r="F696" s="313"/>
      <c r="G696" s="313"/>
      <c r="H696" s="313"/>
      <c r="I696" s="708"/>
      <c r="J696" s="708"/>
      <c r="K696" s="730"/>
      <c r="L696" s="708"/>
      <c r="M696" s="708"/>
      <c r="N696" s="708"/>
      <c r="O696" s="708"/>
    </row>
    <row r="697" spans="1:17" ht="15.75">
      <c r="C697" s="659" t="s">
        <v>87</v>
      </c>
      <c r="D697" s="538"/>
      <c r="E697" s="313"/>
      <c r="F697" s="313"/>
      <c r="G697" s="313"/>
      <c r="H697" s="806"/>
      <c r="I697" s="313" t="s">
        <v>66</v>
      </c>
      <c r="J697" s="313"/>
      <c r="K697" s="426"/>
      <c r="L697" s="835">
        <f>+J703</f>
        <v>2023</v>
      </c>
      <c r="M697" s="816" t="s">
        <v>45</v>
      </c>
      <c r="N697" s="816" t="s">
        <v>46</v>
      </c>
      <c r="O697" s="817" t="s">
        <v>47</v>
      </c>
    </row>
    <row r="698" spans="1:17" ht="15.75">
      <c r="C698" s="659"/>
      <c r="D698" s="538"/>
      <c r="E698" s="313"/>
      <c r="F698" s="313"/>
      <c r="H698" s="313"/>
      <c r="I698" s="744"/>
      <c r="J698" s="744"/>
      <c r="K698" s="745"/>
      <c r="L698" s="836" t="s">
        <v>235</v>
      </c>
      <c r="M698" s="837">
        <f>VLOOKUP(J703,C710:P769,10)</f>
        <v>920682.15859205346</v>
      </c>
      <c r="N698" s="837">
        <f>VLOOKUP(J703,C710:P769,12)</f>
        <v>920682.15859205346</v>
      </c>
      <c r="O698" s="838">
        <f>+N698-M698</f>
        <v>0</v>
      </c>
    </row>
    <row r="699" spans="1:17" ht="12.95" customHeight="1">
      <c r="C699" s="749" t="s">
        <v>88</v>
      </c>
      <c r="D699" s="1537" t="s">
        <v>815</v>
      </c>
      <c r="E699" s="1537"/>
      <c r="F699" s="1537"/>
      <c r="G699" s="1537"/>
      <c r="H699" s="1537"/>
      <c r="I699" s="1537"/>
      <c r="J699" s="708"/>
      <c r="K699" s="730"/>
      <c r="L699" s="836" t="s">
        <v>236</v>
      </c>
      <c r="M699" s="839">
        <f>VLOOKUP(J703,C710:P769,6)</f>
        <v>881699.39310760924</v>
      </c>
      <c r="N699" s="839">
        <f>VLOOKUP(J703,C710:P769,7)</f>
        <v>881699.39310760924</v>
      </c>
      <c r="O699" s="840">
        <f>+N699-M699</f>
        <v>0</v>
      </c>
    </row>
    <row r="700" spans="1:17" ht="13.5" thickBot="1">
      <c r="C700" s="753"/>
      <c r="D700" s="1537"/>
      <c r="E700" s="1537"/>
      <c r="F700" s="1537"/>
      <c r="G700" s="1537"/>
      <c r="H700" s="1537"/>
      <c r="I700" s="1537"/>
      <c r="J700" s="708"/>
      <c r="K700" s="730"/>
      <c r="L700" s="772" t="s">
        <v>237</v>
      </c>
      <c r="M700" s="841">
        <f>+M699-M698</f>
        <v>-38982.765484444215</v>
      </c>
      <c r="N700" s="841">
        <f>+N699-N698</f>
        <v>-38982.765484444215</v>
      </c>
      <c r="O700" s="842">
        <f>+O699-O698</f>
        <v>0</v>
      </c>
    </row>
    <row r="701" spans="1:17" ht="13.5" thickBot="1">
      <c r="C701" s="756"/>
      <c r="D701" s="757"/>
      <c r="E701" s="755"/>
      <c r="F701" s="755"/>
      <c r="G701" s="755"/>
      <c r="H701" s="755"/>
      <c r="I701" s="755"/>
      <c r="J701" s="755"/>
      <c r="K701" s="758"/>
      <c r="L701" s="755"/>
      <c r="M701" s="755"/>
      <c r="N701" s="755"/>
      <c r="O701" s="755"/>
      <c r="P701" s="347"/>
    </row>
    <row r="702" spans="1:17" ht="13.5" thickBot="1">
      <c r="C702" s="759" t="s">
        <v>89</v>
      </c>
      <c r="D702" s="760"/>
      <c r="E702" s="760"/>
      <c r="F702" s="760"/>
      <c r="G702" s="760"/>
      <c r="H702" s="760"/>
      <c r="I702" s="760"/>
      <c r="J702" s="760"/>
      <c r="K702" s="762"/>
      <c r="P702" s="763"/>
    </row>
    <row r="703" spans="1:17" ht="15">
      <c r="C703" s="764" t="s">
        <v>67</v>
      </c>
      <c r="D703" s="808">
        <v>6422010.4699999997</v>
      </c>
      <c r="E703" s="725" t="s">
        <v>68</v>
      </c>
      <c r="H703" s="765"/>
      <c r="I703" s="765"/>
      <c r="J703" s="766">
        <f>$J$93</f>
        <v>2023</v>
      </c>
      <c r="K703" s="554"/>
      <c r="L703" s="1536" t="s">
        <v>69</v>
      </c>
      <c r="M703" s="1536"/>
      <c r="N703" s="1536"/>
      <c r="O703" s="1536"/>
      <c r="P703" s="426"/>
    </row>
    <row r="704" spans="1:17">
      <c r="C704" s="764" t="s">
        <v>70</v>
      </c>
      <c r="D704" s="809">
        <v>2014</v>
      </c>
      <c r="E704" s="764" t="s">
        <v>71</v>
      </c>
      <c r="F704" s="765"/>
      <c r="G704" s="765"/>
      <c r="I704" s="172"/>
      <c r="J704" s="810">
        <f>IF(H697="",0,$F$17)</f>
        <v>0</v>
      </c>
      <c r="K704" s="767"/>
      <c r="L704" s="730" t="s">
        <v>277</v>
      </c>
      <c r="P704" s="426"/>
    </row>
    <row r="705" spans="2:16">
      <c r="C705" s="764" t="s">
        <v>72</v>
      </c>
      <c r="D705" s="808">
        <v>10</v>
      </c>
      <c r="E705" s="764" t="s">
        <v>73</v>
      </c>
      <c r="F705" s="765"/>
      <c r="G705" s="765"/>
      <c r="I705" s="172"/>
      <c r="J705" s="768">
        <f>$F$70</f>
        <v>0.14450383244078713</v>
      </c>
      <c r="K705" s="769"/>
      <c r="L705" s="313" t="str">
        <f>"          INPUT TRUE-UP ARR (WITH &amp; WITHOUT INCENTIVES) FROM EACH PRIOR YEAR"</f>
        <v xml:space="preserve">          INPUT TRUE-UP ARR (WITH &amp; WITHOUT INCENTIVES) FROM EACH PRIOR YEAR</v>
      </c>
      <c r="P705" s="426"/>
    </row>
    <row r="706" spans="2:16">
      <c r="C706" s="764" t="s">
        <v>74</v>
      </c>
      <c r="D706" s="770">
        <f>H$79</f>
        <v>35</v>
      </c>
      <c r="E706" s="764" t="s">
        <v>75</v>
      </c>
      <c r="F706" s="765"/>
      <c r="G706" s="765"/>
      <c r="I706" s="172"/>
      <c r="J706" s="768">
        <f>IF(H697="",+J705,$F$69)</f>
        <v>0.14450383244078713</v>
      </c>
      <c r="K706" s="771"/>
      <c r="L706" s="313" t="s">
        <v>157</v>
      </c>
      <c r="M706" s="771"/>
      <c r="N706" s="771"/>
      <c r="O706" s="771"/>
      <c r="P706" s="426"/>
    </row>
    <row r="707" spans="2:16" ht="13.5" thickBot="1">
      <c r="C707" s="764" t="s">
        <v>76</v>
      </c>
      <c r="D707" s="807" t="s">
        <v>808</v>
      </c>
      <c r="E707" s="772" t="s">
        <v>77</v>
      </c>
      <c r="F707" s="773"/>
      <c r="G707" s="773"/>
      <c r="H707" s="774"/>
      <c r="I707" s="774"/>
      <c r="J707" s="752">
        <f>IF(D703=0,0,D703/D706)</f>
        <v>183486.01342857143</v>
      </c>
      <c r="K707" s="730"/>
      <c r="L707" s="730" t="s">
        <v>158</v>
      </c>
      <c r="M707" s="730"/>
      <c r="N707" s="730"/>
      <c r="O707" s="730"/>
      <c r="P707" s="426"/>
    </row>
    <row r="708" spans="2:16" ht="38.25">
      <c r="B708" s="845"/>
      <c r="C708" s="775" t="s">
        <v>67</v>
      </c>
      <c r="D708" s="776" t="s">
        <v>78</v>
      </c>
      <c r="E708" s="777" t="s">
        <v>79</v>
      </c>
      <c r="F708" s="776" t="s">
        <v>80</v>
      </c>
      <c r="G708" s="776" t="s">
        <v>238</v>
      </c>
      <c r="H708" s="777" t="s">
        <v>151</v>
      </c>
      <c r="I708" s="778" t="s">
        <v>151</v>
      </c>
      <c r="J708" s="775" t="s">
        <v>90</v>
      </c>
      <c r="K708" s="779"/>
      <c r="L708" s="777" t="s">
        <v>153</v>
      </c>
      <c r="M708" s="777" t="s">
        <v>159</v>
      </c>
      <c r="N708" s="777" t="s">
        <v>153</v>
      </c>
      <c r="O708" s="777" t="s">
        <v>161</v>
      </c>
      <c r="P708" s="777" t="s">
        <v>81</v>
      </c>
    </row>
    <row r="709" spans="2:16" ht="13.5" thickBot="1">
      <c r="C709" s="781" t="s">
        <v>469</v>
      </c>
      <c r="D709" s="782" t="s">
        <v>470</v>
      </c>
      <c r="E709" s="781" t="s">
        <v>363</v>
      </c>
      <c r="F709" s="782" t="s">
        <v>470</v>
      </c>
      <c r="G709" s="782" t="s">
        <v>470</v>
      </c>
      <c r="H709" s="783" t="s">
        <v>93</v>
      </c>
      <c r="I709" s="784" t="s">
        <v>95</v>
      </c>
      <c r="J709" s="785" t="s">
        <v>15</v>
      </c>
      <c r="K709" s="786"/>
      <c r="L709" s="783" t="s">
        <v>82</v>
      </c>
      <c r="M709" s="783" t="s">
        <v>82</v>
      </c>
      <c r="N709" s="783" t="s">
        <v>255</v>
      </c>
      <c r="O709" s="783" t="s">
        <v>255</v>
      </c>
      <c r="P709" s="783" t="s">
        <v>255</v>
      </c>
    </row>
    <row r="710" spans="2:16">
      <c r="C710" s="788">
        <f>IF(D704= "","-",D704)</f>
        <v>2014</v>
      </c>
      <c r="D710" s="736">
        <f>+D703</f>
        <v>6422010.4699999997</v>
      </c>
      <c r="E710" s="794">
        <f>+J707/12*(12-D705)</f>
        <v>30581.00223809524</v>
      </c>
      <c r="F710" s="843">
        <f t="shared" ref="F710:F769" si="61">+D710-E710</f>
        <v>6391429.4677619049</v>
      </c>
      <c r="G710" s="736">
        <f>+(D710+F710)/2</f>
        <v>6406719.9688809523</v>
      </c>
      <c r="H710" s="790">
        <f>+J705*G710+E710</f>
        <v>956376.59111631336</v>
      </c>
      <c r="I710" s="791">
        <f>+J706*G710+E710</f>
        <v>956376.59111631336</v>
      </c>
      <c r="J710" s="792">
        <f>+I710-H710</f>
        <v>0</v>
      </c>
      <c r="K710" s="792"/>
      <c r="L710" s="811">
        <v>580874</v>
      </c>
      <c r="M710" s="844">
        <f t="shared" ref="M710:M769" si="62">IF(L710&lt;&gt;0,+H710-L710,0)</f>
        <v>375502.59111631336</v>
      </c>
      <c r="N710" s="811">
        <v>580874</v>
      </c>
      <c r="O710" s="844">
        <f t="shared" ref="O710:O769" si="63">IF(N710&lt;&gt;0,+I710-N710,0)</f>
        <v>375502.59111631336</v>
      </c>
      <c r="P710" s="844">
        <f t="shared" ref="P710:P769" si="64">+O710-M710</f>
        <v>0</v>
      </c>
    </row>
    <row r="711" spans="2:16">
      <c r="C711" s="788">
        <f>IF(D704="","-",+C710+1)</f>
        <v>2015</v>
      </c>
      <c r="D711" s="736">
        <f t="shared" ref="D711:D769" si="65">F710</f>
        <v>6391429.4677619049</v>
      </c>
      <c r="E711" s="789">
        <f>IF(D711&gt;$J$707,$J$707,D711)</f>
        <v>183486.01342857143</v>
      </c>
      <c r="F711" s="789">
        <f t="shared" si="61"/>
        <v>6207943.4543333333</v>
      </c>
      <c r="G711" s="736">
        <f t="shared" ref="G711:G769" si="66">+(D711+F711)/2</f>
        <v>6299686.4610476196</v>
      </c>
      <c r="H711" s="794">
        <f>+J705*G711+E711</f>
        <v>1093814.8502252919</v>
      </c>
      <c r="I711" s="795">
        <f>+J706*G711+E711</f>
        <v>1093814.8502252919</v>
      </c>
      <c r="J711" s="792">
        <f>+I711-H711</f>
        <v>0</v>
      </c>
      <c r="K711" s="792"/>
      <c r="L711" s="812">
        <v>774598</v>
      </c>
      <c r="M711" s="792">
        <f t="shared" si="62"/>
        <v>319216.85022529191</v>
      </c>
      <c r="N711" s="812">
        <v>774598</v>
      </c>
      <c r="O711" s="792">
        <f t="shared" si="63"/>
        <v>319216.85022529191</v>
      </c>
      <c r="P711" s="792">
        <f t="shared" si="64"/>
        <v>0</v>
      </c>
    </row>
    <row r="712" spans="2:16">
      <c r="C712" s="788">
        <f>IF(D704="","-",+C711+1)</f>
        <v>2016</v>
      </c>
      <c r="D712" s="736">
        <f t="shared" si="65"/>
        <v>6207943.4543333333</v>
      </c>
      <c r="E712" s="789">
        <f t="shared" ref="E712:E769" si="67">IF(D712&gt;$J$707,$J$707,D712)</f>
        <v>183486.01342857143</v>
      </c>
      <c r="F712" s="789">
        <f t="shared" si="61"/>
        <v>6024457.4409047617</v>
      </c>
      <c r="G712" s="736">
        <f t="shared" si="66"/>
        <v>6116200.447619047</v>
      </c>
      <c r="H712" s="794">
        <f>+J705*G712+E712</f>
        <v>1067300.4180855814</v>
      </c>
      <c r="I712" s="795">
        <f>+J706*G712+E712</f>
        <v>1067300.4180855814</v>
      </c>
      <c r="J712" s="792">
        <f t="shared" ref="J712:J769" si="68">+I712-H712</f>
        <v>0</v>
      </c>
      <c r="K712" s="792"/>
      <c r="L712" s="812">
        <v>868128</v>
      </c>
      <c r="M712" s="792">
        <f t="shared" si="62"/>
        <v>199172.41808558139</v>
      </c>
      <c r="N712" s="812">
        <v>868128</v>
      </c>
      <c r="O712" s="792">
        <f t="shared" si="63"/>
        <v>199172.41808558139</v>
      </c>
      <c r="P712" s="792">
        <f t="shared" si="64"/>
        <v>0</v>
      </c>
    </row>
    <row r="713" spans="2:16">
      <c r="C713" s="788">
        <f>IF(D704="","-",+C712+1)</f>
        <v>2017</v>
      </c>
      <c r="D713" s="1321">
        <f t="shared" si="65"/>
        <v>6024457.4409047617</v>
      </c>
      <c r="E713" s="789">
        <f t="shared" si="67"/>
        <v>183486.01342857143</v>
      </c>
      <c r="F713" s="789">
        <f t="shared" si="61"/>
        <v>5840971.42747619</v>
      </c>
      <c r="G713" s="736">
        <f t="shared" si="66"/>
        <v>5932714.4341904763</v>
      </c>
      <c r="H713" s="794">
        <f>+J705*G713+E713</f>
        <v>1040785.9859458712</v>
      </c>
      <c r="I713" s="795">
        <f>+J706*G713+E713</f>
        <v>1040785.9859458712</v>
      </c>
      <c r="J713" s="792">
        <f t="shared" si="68"/>
        <v>0</v>
      </c>
      <c r="K713" s="792"/>
      <c r="L713" s="812">
        <v>1103628</v>
      </c>
      <c r="M713" s="792">
        <f t="shared" si="62"/>
        <v>-62842.014054128784</v>
      </c>
      <c r="N713" s="812">
        <v>1103628</v>
      </c>
      <c r="O713" s="792">
        <f t="shared" si="63"/>
        <v>-62842.014054128784</v>
      </c>
      <c r="P713" s="792">
        <f t="shared" si="64"/>
        <v>0</v>
      </c>
    </row>
    <row r="714" spans="2:16">
      <c r="C714" s="788">
        <f>IF(D704="","-",+C713+1)</f>
        <v>2018</v>
      </c>
      <c r="D714" s="1402">
        <f t="shared" si="65"/>
        <v>5840971.42747619</v>
      </c>
      <c r="E714" s="789">
        <f t="shared" si="67"/>
        <v>183486.01342857143</v>
      </c>
      <c r="F714" s="789">
        <f t="shared" si="61"/>
        <v>5657485.4140476184</v>
      </c>
      <c r="G714" s="736">
        <f t="shared" si="66"/>
        <v>5749228.4207619037</v>
      </c>
      <c r="H714" s="794">
        <f>+J705*G714+E714</f>
        <v>1014271.5538061607</v>
      </c>
      <c r="I714" s="795">
        <f>+J706*G714+E714</f>
        <v>1014271.5538061607</v>
      </c>
      <c r="J714" s="792">
        <f t="shared" si="68"/>
        <v>0</v>
      </c>
      <c r="K714" s="792"/>
      <c r="L714" s="812">
        <v>983699</v>
      </c>
      <c r="M714" s="792">
        <f t="shared" si="62"/>
        <v>30572.553806160693</v>
      </c>
      <c r="N714" s="812">
        <v>983699</v>
      </c>
      <c r="O714" s="792">
        <f t="shared" si="63"/>
        <v>30572.553806160693</v>
      </c>
      <c r="P714" s="792">
        <f t="shared" si="64"/>
        <v>0</v>
      </c>
    </row>
    <row r="715" spans="2:16">
      <c r="C715" s="788">
        <f>IF(D704="","-",+C714+1)</f>
        <v>2019</v>
      </c>
      <c r="D715" s="1321">
        <f t="shared" si="65"/>
        <v>5657485.4140476184</v>
      </c>
      <c r="E715" s="789">
        <f t="shared" si="67"/>
        <v>183486.01342857143</v>
      </c>
      <c r="F715" s="789">
        <f t="shared" si="61"/>
        <v>5473999.4006190468</v>
      </c>
      <c r="G715" s="736">
        <f t="shared" si="66"/>
        <v>5565742.407333333</v>
      </c>
      <c r="H715" s="794">
        <f>+J705*G715+E715</f>
        <v>987757.12166645052</v>
      </c>
      <c r="I715" s="795">
        <f>+J706*G715+E715</f>
        <v>987757.12166645052</v>
      </c>
      <c r="J715" s="792">
        <f t="shared" si="68"/>
        <v>0</v>
      </c>
      <c r="K715" s="792"/>
      <c r="L715" s="812">
        <v>1002122.8493654008</v>
      </c>
      <c r="M715" s="792">
        <f t="shared" si="62"/>
        <v>-14365.72769895033</v>
      </c>
      <c r="N715" s="812">
        <v>1002122.8493654008</v>
      </c>
      <c r="O715" s="792">
        <f t="shared" si="63"/>
        <v>-14365.72769895033</v>
      </c>
      <c r="P715" s="792">
        <f t="shared" si="64"/>
        <v>0</v>
      </c>
    </row>
    <row r="716" spans="2:16">
      <c r="C716" s="788">
        <f>IF(D704="","-",+C715+1)</f>
        <v>2020</v>
      </c>
      <c r="D716" s="1321">
        <f t="shared" si="65"/>
        <v>5473999.4006190468</v>
      </c>
      <c r="E716" s="789">
        <f t="shared" si="67"/>
        <v>183486.01342857143</v>
      </c>
      <c r="F716" s="789">
        <f t="shared" si="61"/>
        <v>5290513.3871904751</v>
      </c>
      <c r="G716" s="736">
        <f t="shared" si="66"/>
        <v>5382256.3939047605</v>
      </c>
      <c r="H716" s="794">
        <f>+J705*G716+E716</f>
        <v>961242.68952674011</v>
      </c>
      <c r="I716" s="795">
        <f>+J706*G716+E716</f>
        <v>961242.68952674011</v>
      </c>
      <c r="J716" s="792">
        <f t="shared" si="68"/>
        <v>0</v>
      </c>
      <c r="K716" s="792"/>
      <c r="L716" s="812">
        <v>1049321.0263133117</v>
      </c>
      <c r="M716" s="792">
        <f t="shared" si="62"/>
        <v>-88078.336786571541</v>
      </c>
      <c r="N716" s="812">
        <v>1049321.0263133117</v>
      </c>
      <c r="O716" s="792">
        <f t="shared" si="63"/>
        <v>-88078.336786571541</v>
      </c>
      <c r="P716" s="792">
        <f t="shared" si="64"/>
        <v>0</v>
      </c>
    </row>
    <row r="717" spans="2:16">
      <c r="C717" s="788">
        <f>IF(D704="","-",+C716+1)</f>
        <v>2021</v>
      </c>
      <c r="D717" s="1321">
        <f t="shared" si="65"/>
        <v>5290513.3871904751</v>
      </c>
      <c r="E717" s="789">
        <f t="shared" si="67"/>
        <v>183486.01342857143</v>
      </c>
      <c r="F717" s="789">
        <f t="shared" si="61"/>
        <v>5107027.3737619035</v>
      </c>
      <c r="G717" s="736">
        <f t="shared" si="66"/>
        <v>5198770.3804761898</v>
      </c>
      <c r="H717" s="794">
        <f>+J705*G717+E717</f>
        <v>934728.25738702982</v>
      </c>
      <c r="I717" s="795">
        <f>+J706*G717+E717</f>
        <v>934728.25738702982</v>
      </c>
      <c r="J717" s="792">
        <f t="shared" si="68"/>
        <v>0</v>
      </c>
      <c r="K717" s="792"/>
      <c r="L717" s="812">
        <v>946848.77806622989</v>
      </c>
      <c r="M717" s="792">
        <f t="shared" si="62"/>
        <v>-12120.520679200068</v>
      </c>
      <c r="N717" s="812">
        <v>946848.77806622989</v>
      </c>
      <c r="O717" s="792">
        <f t="shared" si="63"/>
        <v>-12120.520679200068</v>
      </c>
      <c r="P717" s="792">
        <f t="shared" si="64"/>
        <v>0</v>
      </c>
    </row>
    <row r="718" spans="2:16">
      <c r="C718" s="788">
        <f>IF(D704="","-",+C717+1)</f>
        <v>2022</v>
      </c>
      <c r="D718" s="736">
        <f t="shared" si="65"/>
        <v>5107027.3737619035</v>
      </c>
      <c r="E718" s="789">
        <f t="shared" si="67"/>
        <v>183486.01342857143</v>
      </c>
      <c r="F718" s="789">
        <f t="shared" si="61"/>
        <v>4923541.3603333319</v>
      </c>
      <c r="G718" s="736">
        <f t="shared" si="66"/>
        <v>5015284.3670476172</v>
      </c>
      <c r="H718" s="794">
        <f>+J705*G718+E718</f>
        <v>908213.82524731942</v>
      </c>
      <c r="I718" s="795">
        <f>+J706*G718+E718</f>
        <v>908213.82524731942</v>
      </c>
      <c r="J718" s="792">
        <f t="shared" si="68"/>
        <v>0</v>
      </c>
      <c r="K718" s="792"/>
      <c r="L718" s="812">
        <v>945075.89241478767</v>
      </c>
      <c r="M718" s="792">
        <f t="shared" si="62"/>
        <v>-36862.067167468253</v>
      </c>
      <c r="N718" s="812">
        <v>945075.89241478767</v>
      </c>
      <c r="O718" s="792">
        <f t="shared" si="63"/>
        <v>-36862.067167468253</v>
      </c>
      <c r="P718" s="792">
        <f t="shared" si="64"/>
        <v>0</v>
      </c>
    </row>
    <row r="719" spans="2:16">
      <c r="C719" s="788">
        <f>IF(D704="","-",+C718+1)</f>
        <v>2023</v>
      </c>
      <c r="D719" s="736">
        <f t="shared" si="65"/>
        <v>4923541.3603333319</v>
      </c>
      <c r="E719" s="789">
        <f t="shared" si="67"/>
        <v>183486.01342857143</v>
      </c>
      <c r="F719" s="789">
        <f t="shared" si="61"/>
        <v>4740055.3469047602</v>
      </c>
      <c r="G719" s="736">
        <f t="shared" si="66"/>
        <v>4831798.3536190465</v>
      </c>
      <c r="H719" s="794">
        <f>+J705*G719+E719</f>
        <v>881699.39310760924</v>
      </c>
      <c r="I719" s="795">
        <f>+J706*G719+E719</f>
        <v>881699.39310760924</v>
      </c>
      <c r="J719" s="792">
        <f t="shared" si="68"/>
        <v>0</v>
      </c>
      <c r="K719" s="792"/>
      <c r="L719" s="812">
        <v>920682.15859205346</v>
      </c>
      <c r="M719" s="792">
        <f t="shared" si="62"/>
        <v>-38982.765484444215</v>
      </c>
      <c r="N719" s="812">
        <v>920682.15859205346</v>
      </c>
      <c r="O719" s="792">
        <f t="shared" si="63"/>
        <v>-38982.765484444215</v>
      </c>
      <c r="P719" s="792">
        <f t="shared" si="64"/>
        <v>0</v>
      </c>
    </row>
    <row r="720" spans="2:16">
      <c r="C720" s="788">
        <f>IF(D704="","-",+C719+1)</f>
        <v>2024</v>
      </c>
      <c r="D720" s="736">
        <f t="shared" si="65"/>
        <v>4740055.3469047602</v>
      </c>
      <c r="E720" s="789">
        <f t="shared" si="67"/>
        <v>183486.01342857143</v>
      </c>
      <c r="F720" s="789">
        <f t="shared" si="61"/>
        <v>4556569.3334761886</v>
      </c>
      <c r="G720" s="736">
        <f t="shared" si="66"/>
        <v>4648312.3401904739</v>
      </c>
      <c r="H720" s="794">
        <f>+J705*G720+E720</f>
        <v>855184.96096789872</v>
      </c>
      <c r="I720" s="795">
        <f>+J706*G720+E720</f>
        <v>855184.96096789872</v>
      </c>
      <c r="J720" s="792">
        <f t="shared" si="68"/>
        <v>0</v>
      </c>
      <c r="K720" s="792"/>
      <c r="L720" s="812"/>
      <c r="M720" s="792">
        <f t="shared" si="62"/>
        <v>0</v>
      </c>
      <c r="N720" s="812"/>
      <c r="O720" s="792">
        <f t="shared" si="63"/>
        <v>0</v>
      </c>
      <c r="P720" s="792">
        <f t="shared" si="64"/>
        <v>0</v>
      </c>
    </row>
    <row r="721" spans="3:16">
      <c r="C721" s="788">
        <f>IF(D704="","-",+C720+1)</f>
        <v>2025</v>
      </c>
      <c r="D721" s="736">
        <f t="shared" si="65"/>
        <v>4556569.3334761886</v>
      </c>
      <c r="E721" s="789">
        <f t="shared" si="67"/>
        <v>183486.01342857143</v>
      </c>
      <c r="F721" s="789">
        <f t="shared" si="61"/>
        <v>4373083.320047617</v>
      </c>
      <c r="G721" s="736">
        <f t="shared" si="66"/>
        <v>4464826.3267619032</v>
      </c>
      <c r="H721" s="794">
        <f>+J705*G721+E721</f>
        <v>828670.52882818854</v>
      </c>
      <c r="I721" s="795">
        <f>+J706*G721+E721</f>
        <v>828670.52882818854</v>
      </c>
      <c r="J721" s="792">
        <f t="shared" si="68"/>
        <v>0</v>
      </c>
      <c r="K721" s="792"/>
      <c r="L721" s="812"/>
      <c r="M721" s="792">
        <f t="shared" si="62"/>
        <v>0</v>
      </c>
      <c r="N721" s="812"/>
      <c r="O721" s="792">
        <f t="shared" si="63"/>
        <v>0</v>
      </c>
      <c r="P721" s="792">
        <f t="shared" si="64"/>
        <v>0</v>
      </c>
    </row>
    <row r="722" spans="3:16">
      <c r="C722" s="788">
        <f>IF(D704="","-",+C721+1)</f>
        <v>2026</v>
      </c>
      <c r="D722" s="736">
        <f t="shared" si="65"/>
        <v>4373083.320047617</v>
      </c>
      <c r="E722" s="789">
        <f t="shared" si="67"/>
        <v>183486.01342857143</v>
      </c>
      <c r="F722" s="789">
        <f t="shared" si="61"/>
        <v>4189597.3066190453</v>
      </c>
      <c r="G722" s="736">
        <f t="shared" si="66"/>
        <v>4281340.3133333307</v>
      </c>
      <c r="H722" s="794">
        <f>+J705*G722+E722</f>
        <v>802156.09668847802</v>
      </c>
      <c r="I722" s="795">
        <f>+J706*G722+E722</f>
        <v>802156.09668847802</v>
      </c>
      <c r="J722" s="792">
        <f t="shared" si="68"/>
        <v>0</v>
      </c>
      <c r="K722" s="792"/>
      <c r="L722" s="812"/>
      <c r="M722" s="792">
        <f t="shared" si="62"/>
        <v>0</v>
      </c>
      <c r="N722" s="812"/>
      <c r="O722" s="792">
        <f t="shared" si="63"/>
        <v>0</v>
      </c>
      <c r="P722" s="792">
        <f t="shared" si="64"/>
        <v>0</v>
      </c>
    </row>
    <row r="723" spans="3:16">
      <c r="C723" s="788">
        <f>IF(D704="","-",+C722+1)</f>
        <v>2027</v>
      </c>
      <c r="D723" s="736">
        <f t="shared" si="65"/>
        <v>4189597.3066190453</v>
      </c>
      <c r="E723" s="789">
        <f t="shared" si="67"/>
        <v>183486.01342857143</v>
      </c>
      <c r="F723" s="789">
        <f t="shared" si="61"/>
        <v>4006111.2931904737</v>
      </c>
      <c r="G723" s="736">
        <f t="shared" si="66"/>
        <v>4097854.2999047595</v>
      </c>
      <c r="H723" s="794">
        <f>+J705*G723+E723</f>
        <v>775641.66454876785</v>
      </c>
      <c r="I723" s="795">
        <f>+J706*G723+E723</f>
        <v>775641.66454876785</v>
      </c>
      <c r="J723" s="792">
        <f t="shared" si="68"/>
        <v>0</v>
      </c>
      <c r="K723" s="792"/>
      <c r="L723" s="812"/>
      <c r="M723" s="792">
        <f t="shared" si="62"/>
        <v>0</v>
      </c>
      <c r="N723" s="812"/>
      <c r="O723" s="792">
        <f t="shared" si="63"/>
        <v>0</v>
      </c>
      <c r="P723" s="792">
        <f t="shared" si="64"/>
        <v>0</v>
      </c>
    </row>
    <row r="724" spans="3:16">
      <c r="C724" s="788">
        <f>IF(D704="","-",+C723+1)</f>
        <v>2028</v>
      </c>
      <c r="D724" s="736">
        <f t="shared" si="65"/>
        <v>4006111.2931904737</v>
      </c>
      <c r="E724" s="789">
        <f t="shared" si="67"/>
        <v>183486.01342857143</v>
      </c>
      <c r="F724" s="789">
        <f t="shared" si="61"/>
        <v>3822625.2797619021</v>
      </c>
      <c r="G724" s="736">
        <f t="shared" si="66"/>
        <v>3914368.2864761879</v>
      </c>
      <c r="H724" s="794">
        <f>+J705*G724+E724</f>
        <v>749127.23240905744</v>
      </c>
      <c r="I724" s="795">
        <f>+J706*G724+E724</f>
        <v>749127.23240905744</v>
      </c>
      <c r="J724" s="792">
        <f t="shared" si="68"/>
        <v>0</v>
      </c>
      <c r="K724" s="792"/>
      <c r="L724" s="812"/>
      <c r="M724" s="792">
        <f t="shared" si="62"/>
        <v>0</v>
      </c>
      <c r="N724" s="812"/>
      <c r="O724" s="792">
        <f t="shared" si="63"/>
        <v>0</v>
      </c>
      <c r="P724" s="792">
        <f t="shared" si="64"/>
        <v>0</v>
      </c>
    </row>
    <row r="725" spans="3:16">
      <c r="C725" s="788">
        <f>IF(D704="","-",+C724+1)</f>
        <v>2029</v>
      </c>
      <c r="D725" s="736">
        <f t="shared" si="65"/>
        <v>3822625.2797619021</v>
      </c>
      <c r="E725" s="789">
        <f t="shared" si="67"/>
        <v>183486.01342857143</v>
      </c>
      <c r="F725" s="789">
        <f t="shared" si="61"/>
        <v>3639139.2663333304</v>
      </c>
      <c r="G725" s="736">
        <f t="shared" si="66"/>
        <v>3730882.2730476162</v>
      </c>
      <c r="H725" s="794">
        <f>+J705*G725+E725</f>
        <v>722612.80026934715</v>
      </c>
      <c r="I725" s="795">
        <f>+J706*G725+E725</f>
        <v>722612.80026934715</v>
      </c>
      <c r="J725" s="792">
        <f t="shared" si="68"/>
        <v>0</v>
      </c>
      <c r="K725" s="792"/>
      <c r="L725" s="812"/>
      <c r="M725" s="792">
        <f t="shared" si="62"/>
        <v>0</v>
      </c>
      <c r="N725" s="812"/>
      <c r="O725" s="792">
        <f t="shared" si="63"/>
        <v>0</v>
      </c>
      <c r="P725" s="792">
        <f t="shared" si="64"/>
        <v>0</v>
      </c>
    </row>
    <row r="726" spans="3:16">
      <c r="C726" s="788">
        <f>IF(D704="","-",+C725+1)</f>
        <v>2030</v>
      </c>
      <c r="D726" s="736">
        <f t="shared" si="65"/>
        <v>3639139.2663333304</v>
      </c>
      <c r="E726" s="789">
        <f t="shared" si="67"/>
        <v>183486.01342857143</v>
      </c>
      <c r="F726" s="789">
        <f t="shared" si="61"/>
        <v>3455653.2529047588</v>
      </c>
      <c r="G726" s="736">
        <f t="shared" si="66"/>
        <v>3547396.2596190446</v>
      </c>
      <c r="H726" s="794">
        <f>+J705*G726+E726</f>
        <v>696098.36812963686</v>
      </c>
      <c r="I726" s="795">
        <f>+J706*G726+E726</f>
        <v>696098.36812963686</v>
      </c>
      <c r="J726" s="792">
        <f t="shared" si="68"/>
        <v>0</v>
      </c>
      <c r="K726" s="792"/>
      <c r="L726" s="812"/>
      <c r="M726" s="792">
        <f t="shared" si="62"/>
        <v>0</v>
      </c>
      <c r="N726" s="812"/>
      <c r="O726" s="792">
        <f t="shared" si="63"/>
        <v>0</v>
      </c>
      <c r="P726" s="792">
        <f t="shared" si="64"/>
        <v>0</v>
      </c>
    </row>
    <row r="727" spans="3:16">
      <c r="C727" s="788">
        <f>IF(D704="","-",+C726+1)</f>
        <v>2031</v>
      </c>
      <c r="D727" s="736">
        <f t="shared" si="65"/>
        <v>3455653.2529047588</v>
      </c>
      <c r="E727" s="789">
        <f t="shared" si="67"/>
        <v>183486.01342857143</v>
      </c>
      <c r="F727" s="789">
        <f t="shared" si="61"/>
        <v>3272167.2394761872</v>
      </c>
      <c r="G727" s="736">
        <f t="shared" si="66"/>
        <v>3363910.246190473</v>
      </c>
      <c r="H727" s="794">
        <f>+J705*G727+E727</f>
        <v>669583.93598992657</v>
      </c>
      <c r="I727" s="795">
        <f>+J706*G727+E727</f>
        <v>669583.93598992657</v>
      </c>
      <c r="J727" s="792">
        <f t="shared" si="68"/>
        <v>0</v>
      </c>
      <c r="K727" s="792"/>
      <c r="L727" s="812"/>
      <c r="M727" s="792">
        <f t="shared" si="62"/>
        <v>0</v>
      </c>
      <c r="N727" s="812"/>
      <c r="O727" s="792">
        <f t="shared" si="63"/>
        <v>0</v>
      </c>
      <c r="P727" s="792">
        <f t="shared" si="64"/>
        <v>0</v>
      </c>
    </row>
    <row r="728" spans="3:16">
      <c r="C728" s="788">
        <f>IF(D704="","-",+C727+1)</f>
        <v>2032</v>
      </c>
      <c r="D728" s="736">
        <f t="shared" si="65"/>
        <v>3272167.2394761872</v>
      </c>
      <c r="E728" s="789">
        <f t="shared" si="67"/>
        <v>183486.01342857143</v>
      </c>
      <c r="F728" s="789">
        <f t="shared" si="61"/>
        <v>3088681.2260476155</v>
      </c>
      <c r="G728" s="736">
        <f t="shared" si="66"/>
        <v>3180424.2327619013</v>
      </c>
      <c r="H728" s="794">
        <f>+J705*G728+E728</f>
        <v>643069.50385021616</v>
      </c>
      <c r="I728" s="795">
        <f>+J706*G728+E728</f>
        <v>643069.50385021616</v>
      </c>
      <c r="J728" s="792">
        <f t="shared" si="68"/>
        <v>0</v>
      </c>
      <c r="K728" s="792"/>
      <c r="L728" s="812"/>
      <c r="M728" s="792">
        <f t="shared" si="62"/>
        <v>0</v>
      </c>
      <c r="N728" s="812"/>
      <c r="O728" s="792">
        <f t="shared" si="63"/>
        <v>0</v>
      </c>
      <c r="P728" s="792">
        <f t="shared" si="64"/>
        <v>0</v>
      </c>
    </row>
    <row r="729" spans="3:16">
      <c r="C729" s="788">
        <f>IF(D704="","-",+C728+1)</f>
        <v>2033</v>
      </c>
      <c r="D729" s="736">
        <f t="shared" si="65"/>
        <v>3088681.2260476155</v>
      </c>
      <c r="E729" s="789">
        <f t="shared" si="67"/>
        <v>183486.01342857143</v>
      </c>
      <c r="F729" s="789">
        <f t="shared" si="61"/>
        <v>2905195.2126190439</v>
      </c>
      <c r="G729" s="736">
        <f t="shared" si="66"/>
        <v>2996938.2193333297</v>
      </c>
      <c r="H729" s="794">
        <f>+J705*G729+E729</f>
        <v>616555.07171050587</v>
      </c>
      <c r="I729" s="795">
        <f>+J706*G729+E729</f>
        <v>616555.07171050587</v>
      </c>
      <c r="J729" s="792">
        <f t="shared" si="68"/>
        <v>0</v>
      </c>
      <c r="K729" s="792"/>
      <c r="L729" s="812"/>
      <c r="M729" s="792">
        <f t="shared" si="62"/>
        <v>0</v>
      </c>
      <c r="N729" s="812"/>
      <c r="O729" s="792">
        <f t="shared" si="63"/>
        <v>0</v>
      </c>
      <c r="P729" s="792">
        <f t="shared" si="64"/>
        <v>0</v>
      </c>
    </row>
    <row r="730" spans="3:16">
      <c r="C730" s="788">
        <f>IF(D704="","-",+C729+1)</f>
        <v>2034</v>
      </c>
      <c r="D730" s="736">
        <f t="shared" si="65"/>
        <v>2905195.2126190439</v>
      </c>
      <c r="E730" s="789">
        <f t="shared" si="67"/>
        <v>183486.01342857143</v>
      </c>
      <c r="F730" s="789">
        <f t="shared" si="61"/>
        <v>2721709.1991904723</v>
      </c>
      <c r="G730" s="736">
        <f t="shared" si="66"/>
        <v>2813452.2059047581</v>
      </c>
      <c r="H730" s="794">
        <f>+J705*G730+E730</f>
        <v>590040.63957079547</v>
      </c>
      <c r="I730" s="795">
        <f>+J706*G730+E730</f>
        <v>590040.63957079547</v>
      </c>
      <c r="J730" s="792">
        <f t="shared" si="68"/>
        <v>0</v>
      </c>
      <c r="K730" s="792"/>
      <c r="L730" s="812"/>
      <c r="M730" s="792">
        <f t="shared" si="62"/>
        <v>0</v>
      </c>
      <c r="N730" s="812"/>
      <c r="O730" s="792">
        <f t="shared" si="63"/>
        <v>0</v>
      </c>
      <c r="P730" s="792">
        <f t="shared" si="64"/>
        <v>0</v>
      </c>
    </row>
    <row r="731" spans="3:16">
      <c r="C731" s="788">
        <f>IF(D704="","-",+C730+1)</f>
        <v>2035</v>
      </c>
      <c r="D731" s="736">
        <f t="shared" si="65"/>
        <v>2721709.1991904723</v>
      </c>
      <c r="E731" s="789">
        <f t="shared" si="67"/>
        <v>183486.01342857143</v>
      </c>
      <c r="F731" s="789">
        <f t="shared" si="61"/>
        <v>2538223.1857619006</v>
      </c>
      <c r="G731" s="736">
        <f t="shared" si="66"/>
        <v>2629966.1924761864</v>
      </c>
      <c r="H731" s="794">
        <f>+J705*G731+E731</f>
        <v>563526.20743108517</v>
      </c>
      <c r="I731" s="795">
        <f>+J706*G731+E731</f>
        <v>563526.20743108517</v>
      </c>
      <c r="J731" s="792">
        <f t="shared" si="68"/>
        <v>0</v>
      </c>
      <c r="K731" s="792"/>
      <c r="L731" s="812"/>
      <c r="M731" s="792">
        <f t="shared" si="62"/>
        <v>0</v>
      </c>
      <c r="N731" s="812"/>
      <c r="O731" s="792">
        <f t="shared" si="63"/>
        <v>0</v>
      </c>
      <c r="P731" s="792">
        <f t="shared" si="64"/>
        <v>0</v>
      </c>
    </row>
    <row r="732" spans="3:16">
      <c r="C732" s="788">
        <f>IF(D704="","-",+C731+1)</f>
        <v>2036</v>
      </c>
      <c r="D732" s="736">
        <f t="shared" si="65"/>
        <v>2538223.1857619006</v>
      </c>
      <c r="E732" s="789">
        <f t="shared" si="67"/>
        <v>183486.01342857143</v>
      </c>
      <c r="F732" s="789">
        <f t="shared" si="61"/>
        <v>2354737.172333329</v>
      </c>
      <c r="G732" s="736">
        <f t="shared" si="66"/>
        <v>2446480.1790476148</v>
      </c>
      <c r="H732" s="794">
        <f>+J705*G732+E732</f>
        <v>537011.77529137488</v>
      </c>
      <c r="I732" s="795">
        <f>+J706*G732+E732</f>
        <v>537011.77529137488</v>
      </c>
      <c r="J732" s="792">
        <f t="shared" si="68"/>
        <v>0</v>
      </c>
      <c r="K732" s="792"/>
      <c r="L732" s="812"/>
      <c r="M732" s="792">
        <f t="shared" si="62"/>
        <v>0</v>
      </c>
      <c r="N732" s="812"/>
      <c r="O732" s="792">
        <f t="shared" si="63"/>
        <v>0</v>
      </c>
      <c r="P732" s="792">
        <f t="shared" si="64"/>
        <v>0</v>
      </c>
    </row>
    <row r="733" spans="3:16">
      <c r="C733" s="788">
        <f>IF(D704="","-",+C732+1)</f>
        <v>2037</v>
      </c>
      <c r="D733" s="736">
        <f t="shared" si="65"/>
        <v>2354737.172333329</v>
      </c>
      <c r="E733" s="789">
        <f t="shared" si="67"/>
        <v>183486.01342857143</v>
      </c>
      <c r="F733" s="789">
        <f t="shared" si="61"/>
        <v>2171251.1589047574</v>
      </c>
      <c r="G733" s="736">
        <f t="shared" si="66"/>
        <v>2262994.1656190432</v>
      </c>
      <c r="H733" s="794">
        <f>+J705*G733+E733</f>
        <v>510497.34315166448</v>
      </c>
      <c r="I733" s="795">
        <f>+J706*G733+E733</f>
        <v>510497.34315166448</v>
      </c>
      <c r="J733" s="792">
        <f t="shared" si="68"/>
        <v>0</v>
      </c>
      <c r="K733" s="792"/>
      <c r="L733" s="812"/>
      <c r="M733" s="792">
        <f t="shared" si="62"/>
        <v>0</v>
      </c>
      <c r="N733" s="812"/>
      <c r="O733" s="792">
        <f t="shared" si="63"/>
        <v>0</v>
      </c>
      <c r="P733" s="792">
        <f t="shared" si="64"/>
        <v>0</v>
      </c>
    </row>
    <row r="734" spans="3:16">
      <c r="C734" s="788">
        <f>IF(D704="","-",+C733+1)</f>
        <v>2038</v>
      </c>
      <c r="D734" s="736">
        <f t="shared" si="65"/>
        <v>2171251.1589047574</v>
      </c>
      <c r="E734" s="789">
        <f t="shared" si="67"/>
        <v>183486.01342857143</v>
      </c>
      <c r="F734" s="789">
        <f t="shared" si="61"/>
        <v>1987765.1454761859</v>
      </c>
      <c r="G734" s="736">
        <f t="shared" si="66"/>
        <v>2079508.1521904715</v>
      </c>
      <c r="H734" s="794">
        <f>+J705*G734+E734</f>
        <v>483982.91101195419</v>
      </c>
      <c r="I734" s="795">
        <f>+J706*G734+E734</f>
        <v>483982.91101195419</v>
      </c>
      <c r="J734" s="792">
        <f t="shared" si="68"/>
        <v>0</v>
      </c>
      <c r="K734" s="792"/>
      <c r="L734" s="812"/>
      <c r="M734" s="792">
        <f t="shared" si="62"/>
        <v>0</v>
      </c>
      <c r="N734" s="812"/>
      <c r="O734" s="792">
        <f t="shared" si="63"/>
        <v>0</v>
      </c>
      <c r="P734" s="792">
        <f t="shared" si="64"/>
        <v>0</v>
      </c>
    </row>
    <row r="735" spans="3:16">
      <c r="C735" s="788">
        <f>IF(D704="","-",+C734+1)</f>
        <v>2039</v>
      </c>
      <c r="D735" s="736">
        <f t="shared" si="65"/>
        <v>1987765.1454761859</v>
      </c>
      <c r="E735" s="789">
        <f t="shared" si="67"/>
        <v>183486.01342857143</v>
      </c>
      <c r="F735" s="789">
        <f t="shared" si="61"/>
        <v>1804279.1320476145</v>
      </c>
      <c r="G735" s="736">
        <f t="shared" si="66"/>
        <v>1896022.1387619004</v>
      </c>
      <c r="H735" s="794">
        <f>+J705*G735+E735</f>
        <v>457468.4788722439</v>
      </c>
      <c r="I735" s="795">
        <f>+J706*G735+E735</f>
        <v>457468.4788722439</v>
      </c>
      <c r="J735" s="792">
        <f t="shared" si="68"/>
        <v>0</v>
      </c>
      <c r="K735" s="792"/>
      <c r="L735" s="812"/>
      <c r="M735" s="792">
        <f t="shared" si="62"/>
        <v>0</v>
      </c>
      <c r="N735" s="812"/>
      <c r="O735" s="792">
        <f t="shared" si="63"/>
        <v>0</v>
      </c>
      <c r="P735" s="792">
        <f t="shared" si="64"/>
        <v>0</v>
      </c>
    </row>
    <row r="736" spans="3:16">
      <c r="C736" s="788">
        <f>IF(D704="","-",+C735+1)</f>
        <v>2040</v>
      </c>
      <c r="D736" s="736">
        <f t="shared" si="65"/>
        <v>1804279.1320476145</v>
      </c>
      <c r="E736" s="789">
        <f t="shared" si="67"/>
        <v>183486.01342857143</v>
      </c>
      <c r="F736" s="789">
        <f t="shared" si="61"/>
        <v>1620793.1186190431</v>
      </c>
      <c r="G736" s="736">
        <f t="shared" si="66"/>
        <v>1712536.1253333287</v>
      </c>
      <c r="H736" s="794">
        <f>+J705*G736+E736</f>
        <v>430954.04673253361</v>
      </c>
      <c r="I736" s="795">
        <f>+J706*G736+E736</f>
        <v>430954.04673253361</v>
      </c>
      <c r="J736" s="792">
        <f t="shared" si="68"/>
        <v>0</v>
      </c>
      <c r="K736" s="792"/>
      <c r="L736" s="812"/>
      <c r="M736" s="792">
        <f t="shared" si="62"/>
        <v>0</v>
      </c>
      <c r="N736" s="812"/>
      <c r="O736" s="792">
        <f t="shared" si="63"/>
        <v>0</v>
      </c>
      <c r="P736" s="792">
        <f t="shared" si="64"/>
        <v>0</v>
      </c>
    </row>
    <row r="737" spans="3:16">
      <c r="C737" s="788">
        <f>IF(D704="","-",+C736+1)</f>
        <v>2041</v>
      </c>
      <c r="D737" s="736">
        <f t="shared" si="65"/>
        <v>1620793.1186190431</v>
      </c>
      <c r="E737" s="789">
        <f t="shared" si="67"/>
        <v>183486.01342857143</v>
      </c>
      <c r="F737" s="789">
        <f t="shared" si="61"/>
        <v>1437307.1051904717</v>
      </c>
      <c r="G737" s="736">
        <f t="shared" si="66"/>
        <v>1529050.1119047576</v>
      </c>
      <c r="H737" s="794">
        <f>+J705*G737+E737</f>
        <v>404439.61459282332</v>
      </c>
      <c r="I737" s="795">
        <f>+J706*G737+E737</f>
        <v>404439.61459282332</v>
      </c>
      <c r="J737" s="792">
        <f t="shared" si="68"/>
        <v>0</v>
      </c>
      <c r="K737" s="792"/>
      <c r="L737" s="812"/>
      <c r="M737" s="792">
        <f t="shared" si="62"/>
        <v>0</v>
      </c>
      <c r="N737" s="812"/>
      <c r="O737" s="792">
        <f t="shared" si="63"/>
        <v>0</v>
      </c>
      <c r="P737" s="792">
        <f t="shared" si="64"/>
        <v>0</v>
      </c>
    </row>
    <row r="738" spans="3:16">
      <c r="C738" s="788">
        <f>IF(D704="","-",+C737+1)</f>
        <v>2042</v>
      </c>
      <c r="D738" s="736">
        <f t="shared" si="65"/>
        <v>1437307.1051904717</v>
      </c>
      <c r="E738" s="789">
        <f t="shared" si="67"/>
        <v>183486.01342857143</v>
      </c>
      <c r="F738" s="789">
        <f t="shared" si="61"/>
        <v>1253821.0917619003</v>
      </c>
      <c r="G738" s="736">
        <f t="shared" si="66"/>
        <v>1345564.0984761859</v>
      </c>
      <c r="H738" s="794">
        <f>+J705*G738+E738</f>
        <v>377925.18245311303</v>
      </c>
      <c r="I738" s="795">
        <f>+J706*G738+E738</f>
        <v>377925.18245311303</v>
      </c>
      <c r="J738" s="792">
        <f t="shared" si="68"/>
        <v>0</v>
      </c>
      <c r="K738" s="792"/>
      <c r="L738" s="812"/>
      <c r="M738" s="792">
        <f t="shared" si="62"/>
        <v>0</v>
      </c>
      <c r="N738" s="812"/>
      <c r="O738" s="792">
        <f t="shared" si="63"/>
        <v>0</v>
      </c>
      <c r="P738" s="792">
        <f t="shared" si="64"/>
        <v>0</v>
      </c>
    </row>
    <row r="739" spans="3:16">
      <c r="C739" s="788">
        <f>IF(D704="","-",+C738+1)</f>
        <v>2043</v>
      </c>
      <c r="D739" s="736">
        <f t="shared" si="65"/>
        <v>1253821.0917619003</v>
      </c>
      <c r="E739" s="789">
        <f t="shared" si="67"/>
        <v>183486.01342857143</v>
      </c>
      <c r="F739" s="789">
        <f t="shared" si="61"/>
        <v>1070335.0783333289</v>
      </c>
      <c r="G739" s="736">
        <f t="shared" si="66"/>
        <v>1162078.0850476148</v>
      </c>
      <c r="H739" s="794">
        <f>+J705*G739+E739</f>
        <v>351410.75031340274</v>
      </c>
      <c r="I739" s="795">
        <f>+J706*G739+E739</f>
        <v>351410.75031340274</v>
      </c>
      <c r="J739" s="792">
        <f t="shared" si="68"/>
        <v>0</v>
      </c>
      <c r="K739" s="792"/>
      <c r="L739" s="812"/>
      <c r="M739" s="792">
        <f t="shared" si="62"/>
        <v>0</v>
      </c>
      <c r="N739" s="812"/>
      <c r="O739" s="792">
        <f t="shared" si="63"/>
        <v>0</v>
      </c>
      <c r="P739" s="792">
        <f t="shared" si="64"/>
        <v>0</v>
      </c>
    </row>
    <row r="740" spans="3:16">
      <c r="C740" s="788">
        <f>IF(D704="","-",+C739+1)</f>
        <v>2044</v>
      </c>
      <c r="D740" s="736">
        <f t="shared" si="65"/>
        <v>1070335.0783333289</v>
      </c>
      <c r="E740" s="789">
        <f t="shared" si="67"/>
        <v>183486.01342857143</v>
      </c>
      <c r="F740" s="789">
        <f t="shared" si="61"/>
        <v>886849.06490475754</v>
      </c>
      <c r="G740" s="736">
        <f t="shared" si="66"/>
        <v>978592.07161904324</v>
      </c>
      <c r="H740" s="794">
        <f>+J705*G740+E740</f>
        <v>324896.31817369245</v>
      </c>
      <c r="I740" s="795">
        <f>+J706*G740+E740</f>
        <v>324896.31817369245</v>
      </c>
      <c r="J740" s="792">
        <f t="shared" si="68"/>
        <v>0</v>
      </c>
      <c r="K740" s="792"/>
      <c r="L740" s="812"/>
      <c r="M740" s="792">
        <f t="shared" si="62"/>
        <v>0</v>
      </c>
      <c r="N740" s="812"/>
      <c r="O740" s="792">
        <f t="shared" si="63"/>
        <v>0</v>
      </c>
      <c r="P740" s="792">
        <f t="shared" si="64"/>
        <v>0</v>
      </c>
    </row>
    <row r="741" spans="3:16">
      <c r="C741" s="788">
        <f>IF(D704="","-",+C740+1)</f>
        <v>2045</v>
      </c>
      <c r="D741" s="736">
        <f t="shared" si="65"/>
        <v>886849.06490475754</v>
      </c>
      <c r="E741" s="789">
        <f t="shared" si="67"/>
        <v>183486.01342857143</v>
      </c>
      <c r="F741" s="789">
        <f t="shared" si="61"/>
        <v>703363.05147618614</v>
      </c>
      <c r="G741" s="736">
        <f t="shared" si="66"/>
        <v>795106.05819047184</v>
      </c>
      <c r="H741" s="794">
        <f>+J705*G741+E741</f>
        <v>298381.8860339821</v>
      </c>
      <c r="I741" s="795">
        <f>+J706*G741+E741</f>
        <v>298381.8860339821</v>
      </c>
      <c r="J741" s="792">
        <f t="shared" si="68"/>
        <v>0</v>
      </c>
      <c r="K741" s="792"/>
      <c r="L741" s="812"/>
      <c r="M741" s="792">
        <f t="shared" si="62"/>
        <v>0</v>
      </c>
      <c r="N741" s="812"/>
      <c r="O741" s="792">
        <f t="shared" si="63"/>
        <v>0</v>
      </c>
      <c r="P741" s="792">
        <f t="shared" si="64"/>
        <v>0</v>
      </c>
    </row>
    <row r="742" spans="3:16">
      <c r="C742" s="788">
        <f>IF(D704="","-",+C741+1)</f>
        <v>2046</v>
      </c>
      <c r="D742" s="736">
        <f t="shared" si="65"/>
        <v>703363.05147618614</v>
      </c>
      <c r="E742" s="789">
        <f t="shared" si="67"/>
        <v>183486.01342857143</v>
      </c>
      <c r="F742" s="789">
        <f t="shared" si="61"/>
        <v>519877.03804761474</v>
      </c>
      <c r="G742" s="736">
        <f t="shared" si="66"/>
        <v>611620.04476190044</v>
      </c>
      <c r="H742" s="794">
        <f>+J705*G742+E742</f>
        <v>271867.45389427181</v>
      </c>
      <c r="I742" s="795">
        <f>+J706*G742+E742</f>
        <v>271867.45389427181</v>
      </c>
      <c r="J742" s="792">
        <f t="shared" si="68"/>
        <v>0</v>
      </c>
      <c r="K742" s="792"/>
      <c r="L742" s="812"/>
      <c r="M742" s="792">
        <f t="shared" si="62"/>
        <v>0</v>
      </c>
      <c r="N742" s="812"/>
      <c r="O742" s="792">
        <f t="shared" si="63"/>
        <v>0</v>
      </c>
      <c r="P742" s="792">
        <f t="shared" si="64"/>
        <v>0</v>
      </c>
    </row>
    <row r="743" spans="3:16">
      <c r="C743" s="788">
        <f>IF(D704="","-",+C742+1)</f>
        <v>2047</v>
      </c>
      <c r="D743" s="736">
        <f t="shared" si="65"/>
        <v>519877.03804761474</v>
      </c>
      <c r="E743" s="789">
        <f t="shared" si="67"/>
        <v>183486.01342857143</v>
      </c>
      <c r="F743" s="789">
        <f t="shared" si="61"/>
        <v>336391.02461904334</v>
      </c>
      <c r="G743" s="736">
        <f t="shared" si="66"/>
        <v>428134.03133332904</v>
      </c>
      <c r="H743" s="794">
        <f>+J705*G743+E743</f>
        <v>245353.02175456152</v>
      </c>
      <c r="I743" s="795">
        <f>+J706*G743+E743</f>
        <v>245353.02175456152</v>
      </c>
      <c r="J743" s="792">
        <f t="shared" si="68"/>
        <v>0</v>
      </c>
      <c r="K743" s="792"/>
      <c r="L743" s="812"/>
      <c r="M743" s="792">
        <f t="shared" si="62"/>
        <v>0</v>
      </c>
      <c r="N743" s="812"/>
      <c r="O743" s="792">
        <f t="shared" si="63"/>
        <v>0</v>
      </c>
      <c r="P743" s="792">
        <f t="shared" si="64"/>
        <v>0</v>
      </c>
    </row>
    <row r="744" spans="3:16">
      <c r="C744" s="788">
        <f>IF(D704="","-",+C743+1)</f>
        <v>2048</v>
      </c>
      <c r="D744" s="736">
        <f t="shared" si="65"/>
        <v>336391.02461904334</v>
      </c>
      <c r="E744" s="789">
        <f t="shared" si="67"/>
        <v>183486.01342857143</v>
      </c>
      <c r="F744" s="789">
        <f t="shared" si="61"/>
        <v>152905.01119047191</v>
      </c>
      <c r="G744" s="736">
        <f t="shared" si="66"/>
        <v>244648.01790475764</v>
      </c>
      <c r="H744" s="794">
        <f>+J705*G744+E744</f>
        <v>218838.58961485123</v>
      </c>
      <c r="I744" s="795">
        <f>+J706*G744+E744</f>
        <v>218838.58961485123</v>
      </c>
      <c r="J744" s="792">
        <f t="shared" si="68"/>
        <v>0</v>
      </c>
      <c r="K744" s="792"/>
      <c r="L744" s="812"/>
      <c r="M744" s="792">
        <f t="shared" si="62"/>
        <v>0</v>
      </c>
      <c r="N744" s="812"/>
      <c r="O744" s="792">
        <f t="shared" si="63"/>
        <v>0</v>
      </c>
      <c r="P744" s="792">
        <f t="shared" si="64"/>
        <v>0</v>
      </c>
    </row>
    <row r="745" spans="3:16">
      <c r="C745" s="788">
        <f>IF(D704="","-",+C744+1)</f>
        <v>2049</v>
      </c>
      <c r="D745" s="736">
        <f t="shared" si="65"/>
        <v>152905.01119047191</v>
      </c>
      <c r="E745" s="789">
        <f t="shared" si="67"/>
        <v>152905.01119047191</v>
      </c>
      <c r="F745" s="789">
        <f t="shared" si="61"/>
        <v>0</v>
      </c>
      <c r="G745" s="736">
        <f t="shared" si="66"/>
        <v>76452.505595235954</v>
      </c>
      <c r="H745" s="794">
        <f>+J705*G745+E745</f>
        <v>163952.69124868422</v>
      </c>
      <c r="I745" s="795">
        <f>+J706*G745+E745</f>
        <v>163952.69124868422</v>
      </c>
      <c r="J745" s="792">
        <f t="shared" si="68"/>
        <v>0</v>
      </c>
      <c r="K745" s="792"/>
      <c r="L745" s="812"/>
      <c r="M745" s="792">
        <f t="shared" si="62"/>
        <v>0</v>
      </c>
      <c r="N745" s="812"/>
      <c r="O745" s="792">
        <f t="shared" si="63"/>
        <v>0</v>
      </c>
      <c r="P745" s="792">
        <f t="shared" si="64"/>
        <v>0</v>
      </c>
    </row>
    <row r="746" spans="3:16">
      <c r="C746" s="788">
        <f>IF(D704="","-",+C745+1)</f>
        <v>2050</v>
      </c>
      <c r="D746" s="736">
        <f t="shared" si="65"/>
        <v>0</v>
      </c>
      <c r="E746" s="789">
        <f t="shared" si="67"/>
        <v>0</v>
      </c>
      <c r="F746" s="789">
        <f t="shared" si="61"/>
        <v>0</v>
      </c>
      <c r="G746" s="736">
        <f t="shared" si="66"/>
        <v>0</v>
      </c>
      <c r="H746" s="794">
        <f>+J705*G746+E746</f>
        <v>0</v>
      </c>
      <c r="I746" s="795">
        <f>+J706*G746+E746</f>
        <v>0</v>
      </c>
      <c r="J746" s="792">
        <f t="shared" si="68"/>
        <v>0</v>
      </c>
      <c r="K746" s="792"/>
      <c r="L746" s="812"/>
      <c r="M746" s="792">
        <f t="shared" si="62"/>
        <v>0</v>
      </c>
      <c r="N746" s="812"/>
      <c r="O746" s="792">
        <f t="shared" si="63"/>
        <v>0</v>
      </c>
      <c r="P746" s="792">
        <f t="shared" si="64"/>
        <v>0</v>
      </c>
    </row>
    <row r="747" spans="3:16">
      <c r="C747" s="788">
        <f>IF(D704="","-",+C746+1)</f>
        <v>2051</v>
      </c>
      <c r="D747" s="736">
        <f t="shared" si="65"/>
        <v>0</v>
      </c>
      <c r="E747" s="789">
        <f t="shared" si="67"/>
        <v>0</v>
      </c>
      <c r="F747" s="789">
        <f t="shared" si="61"/>
        <v>0</v>
      </c>
      <c r="G747" s="736">
        <f t="shared" si="66"/>
        <v>0</v>
      </c>
      <c r="H747" s="794">
        <f>+J705*G747+E747</f>
        <v>0</v>
      </c>
      <c r="I747" s="795">
        <f>+J706*G747+E747</f>
        <v>0</v>
      </c>
      <c r="J747" s="792">
        <f t="shared" si="68"/>
        <v>0</v>
      </c>
      <c r="K747" s="792"/>
      <c r="L747" s="812"/>
      <c r="M747" s="792">
        <f t="shared" si="62"/>
        <v>0</v>
      </c>
      <c r="N747" s="812"/>
      <c r="O747" s="792">
        <f t="shared" si="63"/>
        <v>0</v>
      </c>
      <c r="P747" s="792">
        <f t="shared" si="64"/>
        <v>0</v>
      </c>
    </row>
    <row r="748" spans="3:16">
      <c r="C748" s="788">
        <f>IF(D704="","-",+C747+1)</f>
        <v>2052</v>
      </c>
      <c r="D748" s="736">
        <f t="shared" si="65"/>
        <v>0</v>
      </c>
      <c r="E748" s="789">
        <f t="shared" si="67"/>
        <v>0</v>
      </c>
      <c r="F748" s="789">
        <f t="shared" si="61"/>
        <v>0</v>
      </c>
      <c r="G748" s="736">
        <f t="shared" si="66"/>
        <v>0</v>
      </c>
      <c r="H748" s="794">
        <f>+J705*G748+E748</f>
        <v>0</v>
      </c>
      <c r="I748" s="795">
        <f>+J706*G748+E748</f>
        <v>0</v>
      </c>
      <c r="J748" s="792">
        <f t="shared" si="68"/>
        <v>0</v>
      </c>
      <c r="K748" s="792"/>
      <c r="L748" s="812"/>
      <c r="M748" s="792">
        <f t="shared" si="62"/>
        <v>0</v>
      </c>
      <c r="N748" s="812"/>
      <c r="O748" s="792">
        <f t="shared" si="63"/>
        <v>0</v>
      </c>
      <c r="P748" s="792">
        <f t="shared" si="64"/>
        <v>0</v>
      </c>
    </row>
    <row r="749" spans="3:16">
      <c r="C749" s="788">
        <f>IF(D704="","-",+C748+1)</f>
        <v>2053</v>
      </c>
      <c r="D749" s="736">
        <f t="shared" si="65"/>
        <v>0</v>
      </c>
      <c r="E749" s="789">
        <f t="shared" si="67"/>
        <v>0</v>
      </c>
      <c r="F749" s="789">
        <f t="shared" si="61"/>
        <v>0</v>
      </c>
      <c r="G749" s="736">
        <f t="shared" si="66"/>
        <v>0</v>
      </c>
      <c r="H749" s="794">
        <f>+J705*G749+E749</f>
        <v>0</v>
      </c>
      <c r="I749" s="795">
        <f>+J706*G749+E749</f>
        <v>0</v>
      </c>
      <c r="J749" s="792">
        <f t="shared" si="68"/>
        <v>0</v>
      </c>
      <c r="K749" s="792"/>
      <c r="L749" s="812"/>
      <c r="M749" s="792">
        <f t="shared" si="62"/>
        <v>0</v>
      </c>
      <c r="N749" s="812"/>
      <c r="O749" s="792">
        <f t="shared" si="63"/>
        <v>0</v>
      </c>
      <c r="P749" s="792">
        <f t="shared" si="64"/>
        <v>0</v>
      </c>
    </row>
    <row r="750" spans="3:16">
      <c r="C750" s="788">
        <f>IF(D704="","-",+C749+1)</f>
        <v>2054</v>
      </c>
      <c r="D750" s="736">
        <f t="shared" si="65"/>
        <v>0</v>
      </c>
      <c r="E750" s="789">
        <f t="shared" si="67"/>
        <v>0</v>
      </c>
      <c r="F750" s="789">
        <f t="shared" si="61"/>
        <v>0</v>
      </c>
      <c r="G750" s="736">
        <f t="shared" si="66"/>
        <v>0</v>
      </c>
      <c r="H750" s="794">
        <f>+J705*G750+E750</f>
        <v>0</v>
      </c>
      <c r="I750" s="795">
        <f>+J706*G750+E750</f>
        <v>0</v>
      </c>
      <c r="J750" s="792">
        <f t="shared" si="68"/>
        <v>0</v>
      </c>
      <c r="K750" s="792"/>
      <c r="L750" s="812"/>
      <c r="M750" s="792">
        <f t="shared" si="62"/>
        <v>0</v>
      </c>
      <c r="N750" s="812"/>
      <c r="O750" s="792">
        <f t="shared" si="63"/>
        <v>0</v>
      </c>
      <c r="P750" s="792">
        <f t="shared" si="64"/>
        <v>0</v>
      </c>
    </row>
    <row r="751" spans="3:16">
      <c r="C751" s="788">
        <f>IF(D704="","-",+C750+1)</f>
        <v>2055</v>
      </c>
      <c r="D751" s="736">
        <f t="shared" si="65"/>
        <v>0</v>
      </c>
      <c r="E751" s="789">
        <f t="shared" si="67"/>
        <v>0</v>
      </c>
      <c r="F751" s="789">
        <f t="shared" si="61"/>
        <v>0</v>
      </c>
      <c r="G751" s="736">
        <f t="shared" si="66"/>
        <v>0</v>
      </c>
      <c r="H751" s="794">
        <f>+J705*G751+E751</f>
        <v>0</v>
      </c>
      <c r="I751" s="795">
        <f>+J706*G751+E751</f>
        <v>0</v>
      </c>
      <c r="J751" s="792">
        <f t="shared" si="68"/>
        <v>0</v>
      </c>
      <c r="K751" s="792"/>
      <c r="L751" s="812"/>
      <c r="M751" s="792">
        <f t="shared" si="62"/>
        <v>0</v>
      </c>
      <c r="N751" s="812"/>
      <c r="O751" s="792">
        <f t="shared" si="63"/>
        <v>0</v>
      </c>
      <c r="P751" s="792">
        <f t="shared" si="64"/>
        <v>0</v>
      </c>
    </row>
    <row r="752" spans="3:16">
      <c r="C752" s="788">
        <f>IF(D704="","-",+C751+1)</f>
        <v>2056</v>
      </c>
      <c r="D752" s="736">
        <f t="shared" si="65"/>
        <v>0</v>
      </c>
      <c r="E752" s="789">
        <f t="shared" si="67"/>
        <v>0</v>
      </c>
      <c r="F752" s="789">
        <f t="shared" si="61"/>
        <v>0</v>
      </c>
      <c r="G752" s="736">
        <f t="shared" si="66"/>
        <v>0</v>
      </c>
      <c r="H752" s="794">
        <f>+J705*G752+E752</f>
        <v>0</v>
      </c>
      <c r="I752" s="795">
        <f>+J706*G752+E752</f>
        <v>0</v>
      </c>
      <c r="J752" s="792">
        <f t="shared" si="68"/>
        <v>0</v>
      </c>
      <c r="K752" s="792"/>
      <c r="L752" s="812"/>
      <c r="M752" s="792">
        <f t="shared" si="62"/>
        <v>0</v>
      </c>
      <c r="N752" s="812"/>
      <c r="O752" s="792">
        <f t="shared" si="63"/>
        <v>0</v>
      </c>
      <c r="P752" s="792">
        <f t="shared" si="64"/>
        <v>0</v>
      </c>
    </row>
    <row r="753" spans="3:16">
      <c r="C753" s="788">
        <f>IF(D704="","-",+C752+1)</f>
        <v>2057</v>
      </c>
      <c r="D753" s="736">
        <f t="shared" si="65"/>
        <v>0</v>
      </c>
      <c r="E753" s="789">
        <f t="shared" si="67"/>
        <v>0</v>
      </c>
      <c r="F753" s="789">
        <f t="shared" si="61"/>
        <v>0</v>
      </c>
      <c r="G753" s="736">
        <f t="shared" si="66"/>
        <v>0</v>
      </c>
      <c r="H753" s="794">
        <f>+J705*G753+E753</f>
        <v>0</v>
      </c>
      <c r="I753" s="795">
        <f>+J706*G753+E753</f>
        <v>0</v>
      </c>
      <c r="J753" s="792">
        <f t="shared" si="68"/>
        <v>0</v>
      </c>
      <c r="K753" s="792"/>
      <c r="L753" s="812"/>
      <c r="M753" s="792">
        <f t="shared" si="62"/>
        <v>0</v>
      </c>
      <c r="N753" s="812"/>
      <c r="O753" s="792">
        <f t="shared" si="63"/>
        <v>0</v>
      </c>
      <c r="P753" s="792">
        <f t="shared" si="64"/>
        <v>0</v>
      </c>
    </row>
    <row r="754" spans="3:16">
      <c r="C754" s="788">
        <f>IF(D704="","-",+C753+1)</f>
        <v>2058</v>
      </c>
      <c r="D754" s="736">
        <f t="shared" si="65"/>
        <v>0</v>
      </c>
      <c r="E754" s="789">
        <f t="shared" si="67"/>
        <v>0</v>
      </c>
      <c r="F754" s="789">
        <f t="shared" si="61"/>
        <v>0</v>
      </c>
      <c r="G754" s="736">
        <f t="shared" si="66"/>
        <v>0</v>
      </c>
      <c r="H754" s="794">
        <f>+J705*G754+E754</f>
        <v>0</v>
      </c>
      <c r="I754" s="795">
        <f>+J706*G754+E754</f>
        <v>0</v>
      </c>
      <c r="J754" s="792">
        <f t="shared" si="68"/>
        <v>0</v>
      </c>
      <c r="K754" s="792"/>
      <c r="L754" s="812"/>
      <c r="M754" s="792">
        <f t="shared" si="62"/>
        <v>0</v>
      </c>
      <c r="N754" s="812"/>
      <c r="O754" s="792">
        <f t="shared" si="63"/>
        <v>0</v>
      </c>
      <c r="P754" s="792">
        <f t="shared" si="64"/>
        <v>0</v>
      </c>
    </row>
    <row r="755" spans="3:16">
      <c r="C755" s="788">
        <f>IF(D704="","-",+C754+1)</f>
        <v>2059</v>
      </c>
      <c r="D755" s="736">
        <f t="shared" si="65"/>
        <v>0</v>
      </c>
      <c r="E755" s="789">
        <f t="shared" si="67"/>
        <v>0</v>
      </c>
      <c r="F755" s="789">
        <f t="shared" si="61"/>
        <v>0</v>
      </c>
      <c r="G755" s="736">
        <f t="shared" si="66"/>
        <v>0</v>
      </c>
      <c r="H755" s="794">
        <f>+J705*G755+E755</f>
        <v>0</v>
      </c>
      <c r="I755" s="795">
        <f>+J706*G755+E755</f>
        <v>0</v>
      </c>
      <c r="J755" s="792">
        <f t="shared" si="68"/>
        <v>0</v>
      </c>
      <c r="K755" s="792"/>
      <c r="L755" s="812"/>
      <c r="M755" s="792">
        <f t="shared" si="62"/>
        <v>0</v>
      </c>
      <c r="N755" s="812"/>
      <c r="O755" s="792">
        <f t="shared" si="63"/>
        <v>0</v>
      </c>
      <c r="P755" s="792">
        <f t="shared" si="64"/>
        <v>0</v>
      </c>
    </row>
    <row r="756" spans="3:16">
      <c r="C756" s="788">
        <f>IF(D704="","-",+C755+1)</f>
        <v>2060</v>
      </c>
      <c r="D756" s="736">
        <f t="shared" si="65"/>
        <v>0</v>
      </c>
      <c r="E756" s="789">
        <f t="shared" si="67"/>
        <v>0</v>
      </c>
      <c r="F756" s="789">
        <f t="shared" si="61"/>
        <v>0</v>
      </c>
      <c r="G756" s="736">
        <f t="shared" si="66"/>
        <v>0</v>
      </c>
      <c r="H756" s="794">
        <f>+J705*G756+E756</f>
        <v>0</v>
      </c>
      <c r="I756" s="795">
        <f>+J706*G756+E756</f>
        <v>0</v>
      </c>
      <c r="J756" s="792">
        <f t="shared" si="68"/>
        <v>0</v>
      </c>
      <c r="K756" s="792"/>
      <c r="L756" s="812"/>
      <c r="M756" s="792">
        <f t="shared" si="62"/>
        <v>0</v>
      </c>
      <c r="N756" s="812"/>
      <c r="O756" s="792">
        <f t="shared" si="63"/>
        <v>0</v>
      </c>
      <c r="P756" s="792">
        <f t="shared" si="64"/>
        <v>0</v>
      </c>
    </row>
    <row r="757" spans="3:16">
      <c r="C757" s="788">
        <f>IF(D704="","-",+C756+1)</f>
        <v>2061</v>
      </c>
      <c r="D757" s="736">
        <f t="shared" si="65"/>
        <v>0</v>
      </c>
      <c r="E757" s="789">
        <f t="shared" si="67"/>
        <v>0</v>
      </c>
      <c r="F757" s="789">
        <f t="shared" si="61"/>
        <v>0</v>
      </c>
      <c r="G757" s="736">
        <f t="shared" si="66"/>
        <v>0</v>
      </c>
      <c r="H757" s="794">
        <f>+J705*G757+E757</f>
        <v>0</v>
      </c>
      <c r="I757" s="795">
        <f>+J706*G757+E757</f>
        <v>0</v>
      </c>
      <c r="J757" s="792">
        <f t="shared" si="68"/>
        <v>0</v>
      </c>
      <c r="K757" s="792"/>
      <c r="L757" s="812"/>
      <c r="M757" s="792">
        <f t="shared" si="62"/>
        <v>0</v>
      </c>
      <c r="N757" s="812"/>
      <c r="O757" s="792">
        <f t="shared" si="63"/>
        <v>0</v>
      </c>
      <c r="P757" s="792">
        <f t="shared" si="64"/>
        <v>0</v>
      </c>
    </row>
    <row r="758" spans="3:16">
      <c r="C758" s="788">
        <f>IF(D704="","-",+C757+1)</f>
        <v>2062</v>
      </c>
      <c r="D758" s="736">
        <f t="shared" si="65"/>
        <v>0</v>
      </c>
      <c r="E758" s="789">
        <f t="shared" si="67"/>
        <v>0</v>
      </c>
      <c r="F758" s="789">
        <f t="shared" si="61"/>
        <v>0</v>
      </c>
      <c r="G758" s="736">
        <f t="shared" si="66"/>
        <v>0</v>
      </c>
      <c r="H758" s="794">
        <f>+J705*G758+E758</f>
        <v>0</v>
      </c>
      <c r="I758" s="795">
        <f>+J706*G758+E758</f>
        <v>0</v>
      </c>
      <c r="J758" s="792">
        <f t="shared" si="68"/>
        <v>0</v>
      </c>
      <c r="K758" s="792"/>
      <c r="L758" s="812"/>
      <c r="M758" s="792">
        <f t="shared" si="62"/>
        <v>0</v>
      </c>
      <c r="N758" s="812"/>
      <c r="O758" s="792">
        <f t="shared" si="63"/>
        <v>0</v>
      </c>
      <c r="P758" s="792">
        <f t="shared" si="64"/>
        <v>0</v>
      </c>
    </row>
    <row r="759" spans="3:16">
      <c r="C759" s="788">
        <f>IF(D704="","-",+C758+1)</f>
        <v>2063</v>
      </c>
      <c r="D759" s="736">
        <f t="shared" si="65"/>
        <v>0</v>
      </c>
      <c r="E759" s="789">
        <f t="shared" si="67"/>
        <v>0</v>
      </c>
      <c r="F759" s="789">
        <f t="shared" si="61"/>
        <v>0</v>
      </c>
      <c r="G759" s="736">
        <f t="shared" si="66"/>
        <v>0</v>
      </c>
      <c r="H759" s="794">
        <f>+J705*G759+E759</f>
        <v>0</v>
      </c>
      <c r="I759" s="795">
        <f>+J706*G759+E759</f>
        <v>0</v>
      </c>
      <c r="J759" s="792">
        <f t="shared" si="68"/>
        <v>0</v>
      </c>
      <c r="K759" s="792"/>
      <c r="L759" s="812"/>
      <c r="M759" s="792">
        <f t="shared" si="62"/>
        <v>0</v>
      </c>
      <c r="N759" s="812"/>
      <c r="O759" s="792">
        <f t="shared" si="63"/>
        <v>0</v>
      </c>
      <c r="P759" s="792">
        <f t="shared" si="64"/>
        <v>0</v>
      </c>
    </row>
    <row r="760" spans="3:16">
      <c r="C760" s="788">
        <f>IF(D704="","-",+C759+1)</f>
        <v>2064</v>
      </c>
      <c r="D760" s="736">
        <f t="shared" si="65"/>
        <v>0</v>
      </c>
      <c r="E760" s="789">
        <f t="shared" si="67"/>
        <v>0</v>
      </c>
      <c r="F760" s="789">
        <f t="shared" si="61"/>
        <v>0</v>
      </c>
      <c r="G760" s="736">
        <f t="shared" si="66"/>
        <v>0</v>
      </c>
      <c r="H760" s="794">
        <f>+J705*G760+E760</f>
        <v>0</v>
      </c>
      <c r="I760" s="795">
        <f>+J706*G760+E760</f>
        <v>0</v>
      </c>
      <c r="J760" s="792">
        <f t="shared" si="68"/>
        <v>0</v>
      </c>
      <c r="K760" s="792"/>
      <c r="L760" s="812"/>
      <c r="M760" s="792">
        <f t="shared" si="62"/>
        <v>0</v>
      </c>
      <c r="N760" s="812"/>
      <c r="O760" s="792">
        <f t="shared" si="63"/>
        <v>0</v>
      </c>
      <c r="P760" s="792">
        <f t="shared" si="64"/>
        <v>0</v>
      </c>
    </row>
    <row r="761" spans="3:16">
      <c r="C761" s="788">
        <f>IF(D704="","-",+C760+1)</f>
        <v>2065</v>
      </c>
      <c r="D761" s="736">
        <f t="shared" si="65"/>
        <v>0</v>
      </c>
      <c r="E761" s="789">
        <f t="shared" si="67"/>
        <v>0</v>
      </c>
      <c r="F761" s="789">
        <f t="shared" si="61"/>
        <v>0</v>
      </c>
      <c r="G761" s="736">
        <f t="shared" si="66"/>
        <v>0</v>
      </c>
      <c r="H761" s="794">
        <f>+J705*G761+E761</f>
        <v>0</v>
      </c>
      <c r="I761" s="795">
        <f>+J706*G761+E761</f>
        <v>0</v>
      </c>
      <c r="J761" s="792">
        <f t="shared" si="68"/>
        <v>0</v>
      </c>
      <c r="K761" s="792"/>
      <c r="L761" s="812"/>
      <c r="M761" s="792">
        <f t="shared" si="62"/>
        <v>0</v>
      </c>
      <c r="N761" s="812"/>
      <c r="O761" s="792">
        <f t="shared" si="63"/>
        <v>0</v>
      </c>
      <c r="P761" s="792">
        <f t="shared" si="64"/>
        <v>0</v>
      </c>
    </row>
    <row r="762" spans="3:16">
      <c r="C762" s="788">
        <f>IF(D704="","-",+C761+1)</f>
        <v>2066</v>
      </c>
      <c r="D762" s="736">
        <f t="shared" si="65"/>
        <v>0</v>
      </c>
      <c r="E762" s="789">
        <f t="shared" si="67"/>
        <v>0</v>
      </c>
      <c r="F762" s="789">
        <f t="shared" si="61"/>
        <v>0</v>
      </c>
      <c r="G762" s="736">
        <f t="shared" si="66"/>
        <v>0</v>
      </c>
      <c r="H762" s="794">
        <f>+J705*G762+E762</f>
        <v>0</v>
      </c>
      <c r="I762" s="795">
        <f>+J706*G762+E762</f>
        <v>0</v>
      </c>
      <c r="J762" s="792">
        <f t="shared" si="68"/>
        <v>0</v>
      </c>
      <c r="K762" s="792"/>
      <c r="L762" s="812"/>
      <c r="M762" s="792">
        <f t="shared" si="62"/>
        <v>0</v>
      </c>
      <c r="N762" s="812"/>
      <c r="O762" s="792">
        <f t="shared" si="63"/>
        <v>0</v>
      </c>
      <c r="P762" s="792">
        <f t="shared" si="64"/>
        <v>0</v>
      </c>
    </row>
    <row r="763" spans="3:16">
      <c r="C763" s="788">
        <f>IF(D704="","-",+C762+1)</f>
        <v>2067</v>
      </c>
      <c r="D763" s="736">
        <f t="shared" si="65"/>
        <v>0</v>
      </c>
      <c r="E763" s="789">
        <f t="shared" si="67"/>
        <v>0</v>
      </c>
      <c r="F763" s="789">
        <f t="shared" si="61"/>
        <v>0</v>
      </c>
      <c r="G763" s="736">
        <f t="shared" si="66"/>
        <v>0</v>
      </c>
      <c r="H763" s="794">
        <f>+J705*G763+E763</f>
        <v>0</v>
      </c>
      <c r="I763" s="795">
        <f>+J706*G763+E763</f>
        <v>0</v>
      </c>
      <c r="J763" s="792">
        <f t="shared" si="68"/>
        <v>0</v>
      </c>
      <c r="K763" s="792"/>
      <c r="L763" s="812"/>
      <c r="M763" s="792">
        <f t="shared" si="62"/>
        <v>0</v>
      </c>
      <c r="N763" s="812"/>
      <c r="O763" s="792">
        <f t="shared" si="63"/>
        <v>0</v>
      </c>
      <c r="P763" s="792">
        <f t="shared" si="64"/>
        <v>0</v>
      </c>
    </row>
    <row r="764" spans="3:16">
      <c r="C764" s="788">
        <f>IF(D704="","-",+C763+1)</f>
        <v>2068</v>
      </c>
      <c r="D764" s="736">
        <f t="shared" si="65"/>
        <v>0</v>
      </c>
      <c r="E764" s="789">
        <f t="shared" si="67"/>
        <v>0</v>
      </c>
      <c r="F764" s="789">
        <f t="shared" si="61"/>
        <v>0</v>
      </c>
      <c r="G764" s="736">
        <f t="shared" si="66"/>
        <v>0</v>
      </c>
      <c r="H764" s="794">
        <f>+J705*G764+E764</f>
        <v>0</v>
      </c>
      <c r="I764" s="795">
        <f>+J706*G764+E764</f>
        <v>0</v>
      </c>
      <c r="J764" s="792">
        <f t="shared" si="68"/>
        <v>0</v>
      </c>
      <c r="K764" s="792"/>
      <c r="L764" s="812"/>
      <c r="M764" s="792">
        <f t="shared" si="62"/>
        <v>0</v>
      </c>
      <c r="N764" s="812"/>
      <c r="O764" s="792">
        <f t="shared" si="63"/>
        <v>0</v>
      </c>
      <c r="P764" s="792">
        <f t="shared" si="64"/>
        <v>0</v>
      </c>
    </row>
    <row r="765" spans="3:16">
      <c r="C765" s="788">
        <f>IF(D704="","-",+C764+1)</f>
        <v>2069</v>
      </c>
      <c r="D765" s="736">
        <f t="shared" si="65"/>
        <v>0</v>
      </c>
      <c r="E765" s="789">
        <f t="shared" si="67"/>
        <v>0</v>
      </c>
      <c r="F765" s="789">
        <f t="shared" si="61"/>
        <v>0</v>
      </c>
      <c r="G765" s="736">
        <f t="shared" si="66"/>
        <v>0</v>
      </c>
      <c r="H765" s="794">
        <f>+J705*G765+E765</f>
        <v>0</v>
      </c>
      <c r="I765" s="795">
        <f>+J706*G765+E765</f>
        <v>0</v>
      </c>
      <c r="J765" s="792">
        <f t="shared" si="68"/>
        <v>0</v>
      </c>
      <c r="K765" s="792"/>
      <c r="L765" s="812"/>
      <c r="M765" s="792">
        <f t="shared" si="62"/>
        <v>0</v>
      </c>
      <c r="N765" s="812"/>
      <c r="O765" s="792">
        <f t="shared" si="63"/>
        <v>0</v>
      </c>
      <c r="P765" s="792">
        <f t="shared" si="64"/>
        <v>0</v>
      </c>
    </row>
    <row r="766" spans="3:16">
      <c r="C766" s="788">
        <f>IF(D704="","-",+C765+1)</f>
        <v>2070</v>
      </c>
      <c r="D766" s="736">
        <f t="shared" si="65"/>
        <v>0</v>
      </c>
      <c r="E766" s="789">
        <f t="shared" si="67"/>
        <v>0</v>
      </c>
      <c r="F766" s="789">
        <f t="shared" si="61"/>
        <v>0</v>
      </c>
      <c r="G766" s="736">
        <f t="shared" si="66"/>
        <v>0</v>
      </c>
      <c r="H766" s="794">
        <f>+J705*G766+E766</f>
        <v>0</v>
      </c>
      <c r="I766" s="795">
        <f>+J706*G766+E766</f>
        <v>0</v>
      </c>
      <c r="J766" s="792">
        <f t="shared" si="68"/>
        <v>0</v>
      </c>
      <c r="K766" s="792"/>
      <c r="L766" s="812"/>
      <c r="M766" s="792">
        <f t="shared" si="62"/>
        <v>0</v>
      </c>
      <c r="N766" s="812"/>
      <c r="O766" s="792">
        <f t="shared" si="63"/>
        <v>0</v>
      </c>
      <c r="P766" s="792">
        <f t="shared" si="64"/>
        <v>0</v>
      </c>
    </row>
    <row r="767" spans="3:16">
      <c r="C767" s="788">
        <f>IF(D704="","-",+C766+1)</f>
        <v>2071</v>
      </c>
      <c r="D767" s="736">
        <f t="shared" si="65"/>
        <v>0</v>
      </c>
      <c r="E767" s="789">
        <f t="shared" si="67"/>
        <v>0</v>
      </c>
      <c r="F767" s="789">
        <f t="shared" si="61"/>
        <v>0</v>
      </c>
      <c r="G767" s="736">
        <f t="shared" si="66"/>
        <v>0</v>
      </c>
      <c r="H767" s="794">
        <f>+J705*G767+E767</f>
        <v>0</v>
      </c>
      <c r="I767" s="795">
        <f>+J706*G767+E767</f>
        <v>0</v>
      </c>
      <c r="J767" s="792">
        <f t="shared" si="68"/>
        <v>0</v>
      </c>
      <c r="K767" s="792"/>
      <c r="L767" s="812"/>
      <c r="M767" s="792">
        <f t="shared" si="62"/>
        <v>0</v>
      </c>
      <c r="N767" s="812"/>
      <c r="O767" s="792">
        <f t="shared" si="63"/>
        <v>0</v>
      </c>
      <c r="P767" s="792">
        <f t="shared" si="64"/>
        <v>0</v>
      </c>
    </row>
    <row r="768" spans="3:16">
      <c r="C768" s="788">
        <f>IF(D704="","-",+C767+1)</f>
        <v>2072</v>
      </c>
      <c r="D768" s="736">
        <f t="shared" si="65"/>
        <v>0</v>
      </c>
      <c r="E768" s="789">
        <f t="shared" si="67"/>
        <v>0</v>
      </c>
      <c r="F768" s="789">
        <f t="shared" si="61"/>
        <v>0</v>
      </c>
      <c r="G768" s="736">
        <f t="shared" si="66"/>
        <v>0</v>
      </c>
      <c r="H768" s="794">
        <f>+J705*G768+E768</f>
        <v>0</v>
      </c>
      <c r="I768" s="795">
        <f>+J706*G768+E768</f>
        <v>0</v>
      </c>
      <c r="J768" s="792">
        <f t="shared" si="68"/>
        <v>0</v>
      </c>
      <c r="K768" s="792"/>
      <c r="L768" s="812"/>
      <c r="M768" s="792">
        <f t="shared" si="62"/>
        <v>0</v>
      </c>
      <c r="N768" s="812"/>
      <c r="O768" s="792">
        <f t="shared" si="63"/>
        <v>0</v>
      </c>
      <c r="P768" s="792">
        <f t="shared" si="64"/>
        <v>0</v>
      </c>
    </row>
    <row r="769" spans="1:17" ht="13.5" thickBot="1">
      <c r="C769" s="798">
        <f>IF(D704="","-",+C768+1)</f>
        <v>2073</v>
      </c>
      <c r="D769" s="799">
        <f t="shared" si="65"/>
        <v>0</v>
      </c>
      <c r="E769" s="799">
        <f t="shared" si="67"/>
        <v>0</v>
      </c>
      <c r="F769" s="1322">
        <f t="shared" si="61"/>
        <v>0</v>
      </c>
      <c r="G769" s="799">
        <f t="shared" si="66"/>
        <v>0</v>
      </c>
      <c r="H769" s="801">
        <f>+J705*G769+E769</f>
        <v>0</v>
      </c>
      <c r="I769" s="801">
        <f>+J706*G769+E769</f>
        <v>0</v>
      </c>
      <c r="J769" s="802">
        <f t="shared" si="68"/>
        <v>0</v>
      </c>
      <c r="K769" s="792"/>
      <c r="L769" s="813"/>
      <c r="M769" s="802">
        <f t="shared" si="62"/>
        <v>0</v>
      </c>
      <c r="N769" s="813"/>
      <c r="O769" s="802">
        <f t="shared" si="63"/>
        <v>0</v>
      </c>
      <c r="P769" s="802">
        <f t="shared" si="64"/>
        <v>0</v>
      </c>
    </row>
    <row r="770" spans="1:17">
      <c r="C770" s="736" t="s">
        <v>83</v>
      </c>
      <c r="D770" s="730"/>
      <c r="E770" s="730">
        <f>SUM(E710:E769)</f>
        <v>6422010.4699999997</v>
      </c>
      <c r="F770" s="730"/>
      <c r="G770" s="730"/>
      <c r="H770" s="730">
        <f>SUM(H710:H769)</f>
        <v>23435437.759647429</v>
      </c>
      <c r="I770" s="730">
        <f>SUM(I710:I769)</f>
        <v>23435437.759647429</v>
      </c>
      <c r="J770" s="730">
        <f>SUM(J710:J769)</f>
        <v>0</v>
      </c>
      <c r="K770" s="730"/>
      <c r="L770" s="730"/>
      <c r="M770" s="730"/>
      <c r="N770" s="730"/>
      <c r="O770" s="730"/>
    </row>
    <row r="771" spans="1:17">
      <c r="D771" s="538"/>
      <c r="E771" s="313"/>
      <c r="F771" s="313"/>
      <c r="G771" s="313"/>
      <c r="H771" s="313"/>
      <c r="I771" s="708"/>
      <c r="J771" s="708"/>
      <c r="K771" s="730"/>
      <c r="L771" s="708"/>
      <c r="M771" s="708"/>
      <c r="N771" s="708"/>
      <c r="O771" s="708"/>
    </row>
    <row r="772" spans="1:17">
      <c r="C772" s="313" t="s">
        <v>13</v>
      </c>
      <c r="D772" s="538"/>
      <c r="E772" s="313"/>
      <c r="F772" s="313"/>
      <c r="G772" s="313"/>
      <c r="H772" s="313"/>
      <c r="I772" s="708"/>
      <c r="J772" s="708"/>
      <c r="K772" s="730"/>
      <c r="L772" s="708"/>
      <c r="M772" s="708"/>
      <c r="N772" s="708"/>
      <c r="O772" s="708"/>
    </row>
    <row r="773" spans="1:17">
      <c r="C773" s="313"/>
      <c r="D773" s="538"/>
      <c r="E773" s="313"/>
      <c r="F773" s="313"/>
      <c r="G773" s="313"/>
      <c r="H773" s="313"/>
      <c r="I773" s="708"/>
      <c r="J773" s="708"/>
      <c r="K773" s="730"/>
      <c r="L773" s="708"/>
      <c r="M773" s="708"/>
      <c r="N773" s="708"/>
      <c r="O773" s="708"/>
    </row>
    <row r="774" spans="1:17">
      <c r="C774" s="749" t="s">
        <v>14</v>
      </c>
      <c r="D774" s="736"/>
      <c r="E774" s="736"/>
      <c r="F774" s="736"/>
      <c r="G774" s="736"/>
      <c r="H774" s="730"/>
      <c r="I774" s="730"/>
      <c r="J774" s="804"/>
      <c r="K774" s="804"/>
      <c r="L774" s="804"/>
      <c r="M774" s="804"/>
      <c r="N774" s="804"/>
      <c r="O774" s="804"/>
    </row>
    <row r="775" spans="1:17">
      <c r="C775" s="735" t="s">
        <v>263</v>
      </c>
      <c r="D775" s="736"/>
      <c r="E775" s="736"/>
      <c r="F775" s="736"/>
      <c r="G775" s="736"/>
      <c r="H775" s="730"/>
      <c r="I775" s="730"/>
      <c r="J775" s="804"/>
      <c r="K775" s="804"/>
      <c r="L775" s="804"/>
      <c r="M775" s="804"/>
      <c r="N775" s="804"/>
      <c r="O775" s="804"/>
    </row>
    <row r="776" spans="1:17">
      <c r="C776" s="735" t="s">
        <v>84</v>
      </c>
      <c r="D776" s="736"/>
      <c r="E776" s="736"/>
      <c r="F776" s="736"/>
      <c r="G776" s="736"/>
      <c r="H776" s="730"/>
      <c r="I776" s="730"/>
      <c r="J776" s="804"/>
      <c r="K776" s="804"/>
      <c r="L776" s="804"/>
      <c r="M776" s="804"/>
      <c r="N776" s="804"/>
      <c r="O776" s="804"/>
    </row>
    <row r="778" spans="1:17" ht="20.25">
      <c r="A778" s="737" t="str">
        <f>""&amp;A703&amp;" Worksheet K -  ATRR TRUE-UP Calculation for PJM Projects Charged to Benefiting Zones"</f>
        <v xml:space="preserve"> Worksheet K -  ATRR TRUE-UP Calculation for PJM Projects Charged to Benefiting Zones</v>
      </c>
      <c r="B778" s="347"/>
      <c r="C778" s="725"/>
      <c r="D778" s="538"/>
      <c r="E778" s="313"/>
      <c r="F778" s="707"/>
      <c r="G778" s="707"/>
      <c r="H778" s="313"/>
      <c r="I778" s="708"/>
      <c r="L778" s="564"/>
      <c r="M778" s="564"/>
      <c r="N778" s="564"/>
      <c r="O778" s="653" t="str">
        <f>"Page "&amp;SUM(Q$8:Q778)&amp;" of "</f>
        <v xml:space="preserve">Page 10 of </v>
      </c>
      <c r="P778" s="654">
        <f>COUNT(Q$8:Q$57703)</f>
        <v>22</v>
      </c>
      <c r="Q778" s="655">
        <v>1</v>
      </c>
    </row>
    <row r="779" spans="1:17">
      <c r="B779" s="347"/>
      <c r="C779" s="313"/>
      <c r="D779" s="538"/>
      <c r="E779" s="313"/>
      <c r="F779" s="313"/>
      <c r="G779" s="313"/>
      <c r="H779" s="313"/>
      <c r="I779" s="708"/>
      <c r="J779" s="313"/>
      <c r="K779" s="426"/>
    </row>
    <row r="780" spans="1:17" ht="18">
      <c r="B780" s="657" t="s">
        <v>466</v>
      </c>
      <c r="C780" s="739" t="s">
        <v>85</v>
      </c>
      <c r="D780" s="538"/>
      <c r="E780" s="313"/>
      <c r="F780" s="313"/>
      <c r="G780" s="313"/>
      <c r="H780" s="313"/>
      <c r="I780" s="708"/>
      <c r="J780" s="708"/>
      <c r="K780" s="730"/>
      <c r="L780" s="708"/>
      <c r="M780" s="708"/>
      <c r="N780" s="708"/>
      <c r="O780" s="708"/>
    </row>
    <row r="781" spans="1:17" ht="18.75">
      <c r="B781" s="657"/>
      <c r="C781" s="656"/>
      <c r="D781" s="538"/>
      <c r="E781" s="313"/>
      <c r="F781" s="313"/>
      <c r="G781" s="313"/>
      <c r="H781" s="313"/>
      <c r="I781" s="708"/>
      <c r="J781" s="708"/>
      <c r="K781" s="730"/>
      <c r="L781" s="708"/>
      <c r="M781" s="708"/>
      <c r="N781" s="708"/>
      <c r="O781" s="708"/>
    </row>
    <row r="782" spans="1:17" ht="18.75">
      <c r="B782" s="657"/>
      <c r="C782" s="656" t="s">
        <v>86</v>
      </c>
      <c r="D782" s="538"/>
      <c r="E782" s="313"/>
      <c r="F782" s="313"/>
      <c r="G782" s="313"/>
      <c r="H782" s="313"/>
      <c r="I782" s="708"/>
      <c r="J782" s="708"/>
      <c r="K782" s="730"/>
      <c r="L782" s="708"/>
      <c r="M782" s="708"/>
      <c r="N782" s="708"/>
      <c r="O782" s="708"/>
    </row>
    <row r="783" spans="1:17" ht="15.75" thickBot="1">
      <c r="C783" s="239"/>
      <c r="D783" s="538"/>
      <c r="E783" s="313"/>
      <c r="F783" s="313"/>
      <c r="G783" s="313"/>
      <c r="H783" s="313"/>
      <c r="I783" s="708"/>
      <c r="J783" s="708"/>
      <c r="K783" s="730"/>
      <c r="L783" s="708"/>
      <c r="M783" s="708"/>
      <c r="N783" s="708"/>
      <c r="O783" s="708"/>
    </row>
    <row r="784" spans="1:17" ht="15.75">
      <c r="C784" s="659" t="s">
        <v>87</v>
      </c>
      <c r="D784" s="538"/>
      <c r="E784" s="313"/>
      <c r="F784" s="313"/>
      <c r="G784" s="313"/>
      <c r="H784" s="806"/>
      <c r="I784" s="313" t="s">
        <v>66</v>
      </c>
      <c r="J784" s="313"/>
      <c r="K784" s="426"/>
      <c r="L784" s="835">
        <f>+J790</f>
        <v>2023</v>
      </c>
      <c r="M784" s="816" t="s">
        <v>45</v>
      </c>
      <c r="N784" s="816" t="s">
        <v>46</v>
      </c>
      <c r="O784" s="817" t="s">
        <v>47</v>
      </c>
    </row>
    <row r="785" spans="2:16" ht="15.75">
      <c r="C785" s="659"/>
      <c r="D785" s="538"/>
      <c r="E785" s="313"/>
      <c r="F785" s="313"/>
      <c r="H785" s="313"/>
      <c r="I785" s="744"/>
      <c r="J785" s="744"/>
      <c r="K785" s="745"/>
      <c r="L785" s="836" t="s">
        <v>235</v>
      </c>
      <c r="M785" s="837">
        <f>VLOOKUP(J790,C797:P856,10)</f>
        <v>1942307.8563984209</v>
      </c>
      <c r="N785" s="837">
        <f>VLOOKUP(J790,C797:P856,12)</f>
        <v>1942307.8563984209</v>
      </c>
      <c r="O785" s="838">
        <f>+N785-M785</f>
        <v>0</v>
      </c>
    </row>
    <row r="786" spans="2:16" ht="12.95" customHeight="1">
      <c r="C786" s="749" t="s">
        <v>88</v>
      </c>
      <c r="D786" s="1546" t="s">
        <v>817</v>
      </c>
      <c r="E786" s="1546"/>
      <c r="F786" s="1546"/>
      <c r="G786" s="1546"/>
      <c r="H786" s="1546"/>
      <c r="I786" s="1546"/>
      <c r="J786" s="708"/>
      <c r="K786" s="730"/>
      <c r="L786" s="836" t="s">
        <v>236</v>
      </c>
      <c r="M786" s="839">
        <f>VLOOKUP(J790,C797:P856,6)</f>
        <v>1859965.0472478431</v>
      </c>
      <c r="N786" s="839">
        <f>VLOOKUP(J790,C797:P856,7)</f>
        <v>1859965.0472478431</v>
      </c>
      <c r="O786" s="840">
        <f>+N786-M786</f>
        <v>0</v>
      </c>
    </row>
    <row r="787" spans="2:16" ht="13.5" thickBot="1">
      <c r="C787" s="753"/>
      <c r="D787" s="1546" t="s">
        <v>408</v>
      </c>
      <c r="E787" s="1546"/>
      <c r="F787" s="1546"/>
      <c r="G787" s="1546"/>
      <c r="H787" s="1546"/>
      <c r="I787" s="1546"/>
      <c r="J787" s="708"/>
      <c r="K787" s="730"/>
      <c r="L787" s="772" t="s">
        <v>237</v>
      </c>
      <c r="M787" s="841">
        <f>+M786-M785</f>
        <v>-82342.809150577756</v>
      </c>
      <c r="N787" s="841">
        <f>+N786-N785</f>
        <v>-82342.809150577756</v>
      </c>
      <c r="O787" s="842">
        <f>+O786-O785</f>
        <v>0</v>
      </c>
    </row>
    <row r="788" spans="2:16" ht="13.5" thickBot="1">
      <c r="C788" s="756"/>
      <c r="D788" s="757"/>
      <c r="E788" s="755"/>
      <c r="F788" s="755"/>
      <c r="G788" s="755"/>
      <c r="H788" s="755"/>
      <c r="I788" s="755"/>
      <c r="J788" s="755"/>
      <c r="K788" s="758"/>
      <c r="L788" s="755"/>
      <c r="M788" s="755"/>
      <c r="N788" s="755"/>
      <c r="O788" s="755"/>
      <c r="P788" s="347"/>
    </row>
    <row r="789" spans="2:16" ht="13.5" thickBot="1">
      <c r="C789" s="759" t="s">
        <v>89</v>
      </c>
      <c r="D789" s="760"/>
      <c r="E789" s="760"/>
      <c r="F789" s="760"/>
      <c r="G789" s="760"/>
      <c r="H789" s="760"/>
      <c r="I789" s="760"/>
      <c r="J789" s="760"/>
      <c r="K789" s="762"/>
      <c r="P789" s="763"/>
    </row>
    <row r="790" spans="2:16" ht="15">
      <c r="C790" s="764" t="s">
        <v>67</v>
      </c>
      <c r="D790" s="808">
        <v>13479817.289999999</v>
      </c>
      <c r="E790" s="725" t="s">
        <v>68</v>
      </c>
      <c r="H790" s="765"/>
      <c r="I790" s="765"/>
      <c r="J790" s="766">
        <f>$J$93</f>
        <v>2023</v>
      </c>
      <c r="K790" s="554"/>
      <c r="L790" s="1536" t="s">
        <v>69</v>
      </c>
      <c r="M790" s="1536"/>
      <c r="N790" s="1536"/>
      <c r="O790" s="1536"/>
      <c r="P790" s="426"/>
    </row>
    <row r="791" spans="2:16">
      <c r="C791" s="764" t="s">
        <v>70</v>
      </c>
      <c r="D791" s="809">
        <v>2014</v>
      </c>
      <c r="E791" s="764" t="s">
        <v>71</v>
      </c>
      <c r="F791" s="765"/>
      <c r="G791" s="765"/>
      <c r="I791" s="172"/>
      <c r="J791" s="810">
        <f>IF(H784="",0,$F$17)</f>
        <v>0</v>
      </c>
      <c r="K791" s="767"/>
      <c r="L791" s="730" t="s">
        <v>277</v>
      </c>
      <c r="P791" s="426"/>
    </row>
    <row r="792" spans="2:16">
      <c r="C792" s="764" t="s">
        <v>72</v>
      </c>
      <c r="D792" s="808">
        <v>12</v>
      </c>
      <c r="E792" s="764" t="s">
        <v>73</v>
      </c>
      <c r="F792" s="765"/>
      <c r="G792" s="765"/>
      <c r="I792" s="172"/>
      <c r="J792" s="768">
        <f>$F$70</f>
        <v>0.14450383244078713</v>
      </c>
      <c r="K792" s="769"/>
      <c r="L792" s="313" t="str">
        <f>"          INPUT TRUE-UP ARR (WITH &amp; WITHOUT INCENTIVES) FROM EACH PRIOR YEAR"</f>
        <v xml:space="preserve">          INPUT TRUE-UP ARR (WITH &amp; WITHOUT INCENTIVES) FROM EACH PRIOR YEAR</v>
      </c>
      <c r="P792" s="426"/>
    </row>
    <row r="793" spans="2:16">
      <c r="C793" s="764" t="s">
        <v>74</v>
      </c>
      <c r="D793" s="770">
        <f>H$79</f>
        <v>35</v>
      </c>
      <c r="E793" s="764" t="s">
        <v>75</v>
      </c>
      <c r="F793" s="765"/>
      <c r="G793" s="765"/>
      <c r="I793" s="172"/>
      <c r="J793" s="768">
        <f>IF(H784="",+J792,$F$69)</f>
        <v>0.14450383244078713</v>
      </c>
      <c r="K793" s="771"/>
      <c r="L793" s="313" t="s">
        <v>157</v>
      </c>
      <c r="M793" s="771"/>
      <c r="N793" s="771"/>
      <c r="O793" s="771"/>
      <c r="P793" s="426"/>
    </row>
    <row r="794" spans="2:16" ht="13.5" thickBot="1">
      <c r="C794" s="764" t="s">
        <v>76</v>
      </c>
      <c r="D794" s="807" t="s">
        <v>808</v>
      </c>
      <c r="E794" s="772" t="s">
        <v>77</v>
      </c>
      <c r="F794" s="773"/>
      <c r="G794" s="773"/>
      <c r="H794" s="774"/>
      <c r="I794" s="774"/>
      <c r="J794" s="752">
        <f>IF(D790=0,0,D790/D793)</f>
        <v>385137.63685714285</v>
      </c>
      <c r="K794" s="730"/>
      <c r="L794" s="730" t="s">
        <v>158</v>
      </c>
      <c r="M794" s="730"/>
      <c r="N794" s="730"/>
      <c r="O794" s="730"/>
      <c r="P794" s="426"/>
    </row>
    <row r="795" spans="2:16" ht="38.25">
      <c r="B795" s="845"/>
      <c r="C795" s="775" t="s">
        <v>67</v>
      </c>
      <c r="D795" s="776" t="s">
        <v>78</v>
      </c>
      <c r="E795" s="777" t="s">
        <v>79</v>
      </c>
      <c r="F795" s="776" t="s">
        <v>80</v>
      </c>
      <c r="G795" s="776" t="s">
        <v>238</v>
      </c>
      <c r="H795" s="777" t="s">
        <v>151</v>
      </c>
      <c r="I795" s="778" t="s">
        <v>151</v>
      </c>
      <c r="J795" s="775" t="s">
        <v>90</v>
      </c>
      <c r="K795" s="779"/>
      <c r="L795" s="777" t="s">
        <v>153</v>
      </c>
      <c r="M795" s="777" t="s">
        <v>159</v>
      </c>
      <c r="N795" s="777" t="s">
        <v>153</v>
      </c>
      <c r="O795" s="777" t="s">
        <v>161</v>
      </c>
      <c r="P795" s="777" t="s">
        <v>81</v>
      </c>
    </row>
    <row r="796" spans="2:16" ht="13.5" thickBot="1">
      <c r="C796" s="781" t="s">
        <v>469</v>
      </c>
      <c r="D796" s="782" t="s">
        <v>470</v>
      </c>
      <c r="E796" s="781" t="s">
        <v>363</v>
      </c>
      <c r="F796" s="782" t="s">
        <v>470</v>
      </c>
      <c r="G796" s="782" t="s">
        <v>470</v>
      </c>
      <c r="H796" s="783" t="s">
        <v>93</v>
      </c>
      <c r="I796" s="784" t="s">
        <v>95</v>
      </c>
      <c r="J796" s="785" t="s">
        <v>15</v>
      </c>
      <c r="K796" s="786"/>
      <c r="L796" s="783" t="s">
        <v>82</v>
      </c>
      <c r="M796" s="783" t="s">
        <v>82</v>
      </c>
      <c r="N796" s="783" t="s">
        <v>255</v>
      </c>
      <c r="O796" s="783" t="s">
        <v>255</v>
      </c>
      <c r="P796" s="783" t="s">
        <v>255</v>
      </c>
    </row>
    <row r="797" spans="2:16">
      <c r="C797" s="788">
        <f>IF(D791= "","-",D791)</f>
        <v>2014</v>
      </c>
      <c r="D797" s="736">
        <f>+D790</f>
        <v>13479817.289999999</v>
      </c>
      <c r="E797" s="794">
        <f>+J794/12*(12-D792)</f>
        <v>0</v>
      </c>
      <c r="F797" s="843">
        <f t="shared" ref="F797:F856" si="69">+D797-E797</f>
        <v>13479817.289999999</v>
      </c>
      <c r="G797" s="736">
        <f>+(D797+F797)/2</f>
        <v>13479817.289999999</v>
      </c>
      <c r="H797" s="790">
        <f>+J792*G797+E797</f>
        <v>1947885.259006585</v>
      </c>
      <c r="I797" s="791">
        <f>+J793*G797+E797</f>
        <v>1947885.259006585</v>
      </c>
      <c r="J797" s="792">
        <f>+I797-H797</f>
        <v>0</v>
      </c>
      <c r="K797" s="792"/>
      <c r="L797" s="811">
        <v>1611055</v>
      </c>
      <c r="M797" s="844">
        <f t="shared" ref="M797:M856" si="70">IF(L797&lt;&gt;0,+H797-L797,0)</f>
        <v>336830.25900658499</v>
      </c>
      <c r="N797" s="811">
        <v>1611055</v>
      </c>
      <c r="O797" s="844">
        <f t="shared" ref="O797:O856" si="71">IF(N797&lt;&gt;0,+I797-N797,0)</f>
        <v>336830.25900658499</v>
      </c>
      <c r="P797" s="844">
        <f t="shared" ref="P797:P856" si="72">+O797-M797</f>
        <v>0</v>
      </c>
    </row>
    <row r="798" spans="2:16">
      <c r="C798" s="788">
        <f>IF(D791="","-",+C797+1)</f>
        <v>2015</v>
      </c>
      <c r="D798" s="736">
        <f t="shared" ref="D798:D856" si="73">F797</f>
        <v>13479817.289999999</v>
      </c>
      <c r="E798" s="789">
        <f>IF(D798&gt;$J$794,$J$794,D798)</f>
        <v>385137.63685714285</v>
      </c>
      <c r="F798" s="789">
        <f t="shared" si="69"/>
        <v>13094679.653142856</v>
      </c>
      <c r="G798" s="736">
        <f t="shared" ref="G798:G856" si="74">+(D798+F798)/2</f>
        <v>13287248.471571427</v>
      </c>
      <c r="H798" s="794">
        <f>+J792*G798+E798</f>
        <v>2305195.9635922052</v>
      </c>
      <c r="I798" s="795">
        <f>+J793*G798+E798</f>
        <v>2305195.9635922052</v>
      </c>
      <c r="J798" s="792">
        <f>+I798-H798</f>
        <v>0</v>
      </c>
      <c r="K798" s="792"/>
      <c r="L798" s="812">
        <v>1730626</v>
      </c>
      <c r="M798" s="792">
        <f t="shared" si="70"/>
        <v>574569.9635922052</v>
      </c>
      <c r="N798" s="812">
        <v>1730626</v>
      </c>
      <c r="O798" s="792">
        <f t="shared" si="71"/>
        <v>574569.9635922052</v>
      </c>
      <c r="P798" s="792">
        <f t="shared" si="72"/>
        <v>0</v>
      </c>
    </row>
    <row r="799" spans="2:16">
      <c r="C799" s="788">
        <f>IF(D791="","-",+C798+1)</f>
        <v>2016</v>
      </c>
      <c r="D799" s="736">
        <f t="shared" si="73"/>
        <v>13094679.653142856</v>
      </c>
      <c r="E799" s="789">
        <f t="shared" ref="E799:E856" si="75">IF(D799&gt;$J$794,$J$794,D799)</f>
        <v>385137.63685714285</v>
      </c>
      <c r="F799" s="789">
        <f t="shared" si="69"/>
        <v>12709542.016285714</v>
      </c>
      <c r="G799" s="736">
        <f t="shared" si="74"/>
        <v>12902110.834714286</v>
      </c>
      <c r="H799" s="794">
        <f>+J792*G799+E799</f>
        <v>2249542.0990491603</v>
      </c>
      <c r="I799" s="795">
        <f>+J793*G799+E799</f>
        <v>2249542.0990491603</v>
      </c>
      <c r="J799" s="792">
        <f t="shared" ref="J799:J856" si="76">+I799-H799</f>
        <v>0</v>
      </c>
      <c r="K799" s="792"/>
      <c r="L799" s="812">
        <v>1937127</v>
      </c>
      <c r="M799" s="792">
        <f t="shared" si="70"/>
        <v>312415.09904916026</v>
      </c>
      <c r="N799" s="812">
        <v>1937127</v>
      </c>
      <c r="O799" s="792">
        <f t="shared" si="71"/>
        <v>312415.09904916026</v>
      </c>
      <c r="P799" s="792">
        <f t="shared" si="72"/>
        <v>0</v>
      </c>
    </row>
    <row r="800" spans="2:16">
      <c r="C800" s="788">
        <f>IF(D791="","-",+C799+1)</f>
        <v>2017</v>
      </c>
      <c r="D800" s="1321">
        <f t="shared" si="73"/>
        <v>12709542.016285714</v>
      </c>
      <c r="E800" s="789">
        <f t="shared" si="75"/>
        <v>385137.63685714285</v>
      </c>
      <c r="F800" s="789">
        <f t="shared" si="69"/>
        <v>12324404.379428571</v>
      </c>
      <c r="G800" s="736">
        <f t="shared" si="74"/>
        <v>12516973.197857141</v>
      </c>
      <c r="H800" s="794">
        <f>+J792*G800+E800</f>
        <v>2193888.2345061144</v>
      </c>
      <c r="I800" s="795">
        <f>+J793*G800+E800</f>
        <v>2193888.2345061144</v>
      </c>
      <c r="J800" s="792">
        <f t="shared" si="76"/>
        <v>0</v>
      </c>
      <c r="K800" s="792"/>
      <c r="L800" s="812">
        <v>2315830</v>
      </c>
      <c r="M800" s="792">
        <f t="shared" si="70"/>
        <v>-121941.76549388561</v>
      </c>
      <c r="N800" s="812">
        <v>2315830</v>
      </c>
      <c r="O800" s="792">
        <f t="shared" si="71"/>
        <v>-121941.76549388561</v>
      </c>
      <c r="P800" s="792">
        <f t="shared" si="72"/>
        <v>0</v>
      </c>
    </row>
    <row r="801" spans="3:16">
      <c r="C801" s="788">
        <f>IF(D791="","-",+C800+1)</f>
        <v>2018</v>
      </c>
      <c r="D801" s="1402">
        <f t="shared" si="73"/>
        <v>12324404.379428571</v>
      </c>
      <c r="E801" s="789">
        <f t="shared" si="75"/>
        <v>385137.63685714285</v>
      </c>
      <c r="F801" s="789">
        <f t="shared" si="69"/>
        <v>11939266.742571428</v>
      </c>
      <c r="G801" s="736">
        <f t="shared" si="74"/>
        <v>12131835.561000001</v>
      </c>
      <c r="H801" s="794">
        <f>+J792*G801+E801</f>
        <v>2138234.3699630694</v>
      </c>
      <c r="I801" s="795">
        <f>+J793*G801+E801</f>
        <v>2138234.3699630694</v>
      </c>
      <c r="J801" s="792">
        <f t="shared" si="76"/>
        <v>0</v>
      </c>
      <c r="K801" s="792"/>
      <c r="L801" s="812">
        <v>2058911</v>
      </c>
      <c r="M801" s="792">
        <f t="shared" si="70"/>
        <v>79323.369963069446</v>
      </c>
      <c r="N801" s="812">
        <v>2058911</v>
      </c>
      <c r="O801" s="792">
        <f t="shared" si="71"/>
        <v>79323.369963069446</v>
      </c>
      <c r="P801" s="792">
        <f t="shared" si="72"/>
        <v>0</v>
      </c>
    </row>
    <row r="802" spans="3:16">
      <c r="C802" s="788">
        <f>IF(D791="","-",+C801+1)</f>
        <v>2019</v>
      </c>
      <c r="D802" s="1321">
        <f t="shared" si="73"/>
        <v>11939266.742571428</v>
      </c>
      <c r="E802" s="789">
        <f t="shared" si="75"/>
        <v>385137.63685714285</v>
      </c>
      <c r="F802" s="789">
        <f t="shared" si="69"/>
        <v>11554129.105714286</v>
      </c>
      <c r="G802" s="736">
        <f t="shared" si="74"/>
        <v>11746697.924142856</v>
      </c>
      <c r="H802" s="794">
        <f>+J792*G802+E802</f>
        <v>2082580.5054200243</v>
      </c>
      <c r="I802" s="795">
        <f>+J793*G802+E802</f>
        <v>2082580.5054200243</v>
      </c>
      <c r="J802" s="792">
        <f t="shared" si="76"/>
        <v>0</v>
      </c>
      <c r="K802" s="792"/>
      <c r="L802" s="812">
        <v>2110912.8330995957</v>
      </c>
      <c r="M802" s="792">
        <f t="shared" si="70"/>
        <v>-28332.327679571463</v>
      </c>
      <c r="N802" s="812">
        <v>2110912.8330995957</v>
      </c>
      <c r="O802" s="792">
        <f t="shared" si="71"/>
        <v>-28332.327679571463</v>
      </c>
      <c r="P802" s="792">
        <f t="shared" si="72"/>
        <v>0</v>
      </c>
    </row>
    <row r="803" spans="3:16">
      <c r="C803" s="788">
        <f>IF(D791="","-",+C802+1)</f>
        <v>2020</v>
      </c>
      <c r="D803" s="1321">
        <f t="shared" si="73"/>
        <v>11554129.105714286</v>
      </c>
      <c r="E803" s="789">
        <f t="shared" si="75"/>
        <v>385137.63685714285</v>
      </c>
      <c r="F803" s="789">
        <f t="shared" si="69"/>
        <v>11168991.468857143</v>
      </c>
      <c r="G803" s="736">
        <f t="shared" si="74"/>
        <v>11361560.287285715</v>
      </c>
      <c r="H803" s="794">
        <f>+J792*G803+E803</f>
        <v>2026926.6408769791</v>
      </c>
      <c r="I803" s="795">
        <f>+J793*G803+E803</f>
        <v>2026926.6408769791</v>
      </c>
      <c r="J803" s="792">
        <f t="shared" si="76"/>
        <v>0</v>
      </c>
      <c r="K803" s="792"/>
      <c r="L803" s="812">
        <v>2211158.8767514657</v>
      </c>
      <c r="M803" s="792">
        <f t="shared" si="70"/>
        <v>-184232.23587448662</v>
      </c>
      <c r="N803" s="812">
        <v>2211158.8767514657</v>
      </c>
      <c r="O803" s="792">
        <f t="shared" si="71"/>
        <v>-184232.23587448662</v>
      </c>
      <c r="P803" s="792">
        <f t="shared" si="72"/>
        <v>0</v>
      </c>
    </row>
    <row r="804" spans="3:16">
      <c r="C804" s="788">
        <f>IF(D791="","-",+C803+1)</f>
        <v>2021</v>
      </c>
      <c r="D804" s="1321">
        <f t="shared" si="73"/>
        <v>11168991.468857143</v>
      </c>
      <c r="E804" s="789">
        <f t="shared" si="75"/>
        <v>385137.63685714285</v>
      </c>
      <c r="F804" s="789">
        <f t="shared" si="69"/>
        <v>10783853.832</v>
      </c>
      <c r="G804" s="736">
        <f t="shared" si="74"/>
        <v>10976422.650428571</v>
      </c>
      <c r="H804" s="794">
        <f>+J792*G804+E804</f>
        <v>1971272.7763339337</v>
      </c>
      <c r="I804" s="795">
        <f>+J793*G804+E804</f>
        <v>1971272.7763339337</v>
      </c>
      <c r="J804" s="792">
        <f t="shared" si="76"/>
        <v>0</v>
      </c>
      <c r="K804" s="792"/>
      <c r="L804" s="812">
        <v>1996356.4760269849</v>
      </c>
      <c r="M804" s="792">
        <f t="shared" si="70"/>
        <v>-25083.699693051167</v>
      </c>
      <c r="N804" s="812">
        <v>1996356.4760269849</v>
      </c>
      <c r="O804" s="792">
        <f t="shared" si="71"/>
        <v>-25083.699693051167</v>
      </c>
      <c r="P804" s="792">
        <f t="shared" si="72"/>
        <v>0</v>
      </c>
    </row>
    <row r="805" spans="3:16">
      <c r="C805" s="788">
        <f>IF(D791="","-",+C804+1)</f>
        <v>2022</v>
      </c>
      <c r="D805" s="736">
        <f t="shared" si="73"/>
        <v>10783853.832</v>
      </c>
      <c r="E805" s="789">
        <f t="shared" si="75"/>
        <v>385137.63685714285</v>
      </c>
      <c r="F805" s="789">
        <f t="shared" si="69"/>
        <v>10398716.195142858</v>
      </c>
      <c r="G805" s="736">
        <f t="shared" si="74"/>
        <v>10591285.01357143</v>
      </c>
      <c r="H805" s="794">
        <f>+J792*G805+E805</f>
        <v>1915618.9117908888</v>
      </c>
      <c r="I805" s="795">
        <f>+J793*G805+E805</f>
        <v>1915618.9117908888</v>
      </c>
      <c r="J805" s="792">
        <f t="shared" si="76"/>
        <v>0</v>
      </c>
      <c r="K805" s="792"/>
      <c r="L805" s="812">
        <v>1993183.2873161556</v>
      </c>
      <c r="M805" s="792">
        <f t="shared" si="70"/>
        <v>-77564.375525266863</v>
      </c>
      <c r="N805" s="812">
        <v>1993183.2873161556</v>
      </c>
      <c r="O805" s="792">
        <f t="shared" si="71"/>
        <v>-77564.375525266863</v>
      </c>
      <c r="P805" s="792">
        <f t="shared" si="72"/>
        <v>0</v>
      </c>
    </row>
    <row r="806" spans="3:16">
      <c r="C806" s="788">
        <f>IF(D791="","-",+C805+1)</f>
        <v>2023</v>
      </c>
      <c r="D806" s="736">
        <f t="shared" si="73"/>
        <v>10398716.195142858</v>
      </c>
      <c r="E806" s="789">
        <f t="shared" si="75"/>
        <v>385137.63685714285</v>
      </c>
      <c r="F806" s="789">
        <f t="shared" si="69"/>
        <v>10013578.558285715</v>
      </c>
      <c r="G806" s="736">
        <f t="shared" si="74"/>
        <v>10206147.376714285</v>
      </c>
      <c r="H806" s="794">
        <f>+J792*G806+E806</f>
        <v>1859965.0472478431</v>
      </c>
      <c r="I806" s="795">
        <f>+J793*G806+E806</f>
        <v>1859965.0472478431</v>
      </c>
      <c r="J806" s="792">
        <f t="shared" si="76"/>
        <v>0</v>
      </c>
      <c r="K806" s="792"/>
      <c r="L806" s="812">
        <v>1942307.8563984209</v>
      </c>
      <c r="M806" s="792">
        <f t="shared" si="70"/>
        <v>-82342.809150577756</v>
      </c>
      <c r="N806" s="812">
        <v>1942307.8563984209</v>
      </c>
      <c r="O806" s="792">
        <f t="shared" si="71"/>
        <v>-82342.809150577756</v>
      </c>
      <c r="P806" s="792">
        <f t="shared" si="72"/>
        <v>0</v>
      </c>
    </row>
    <row r="807" spans="3:16">
      <c r="C807" s="788">
        <f>IF(D791="","-",+C806+1)</f>
        <v>2024</v>
      </c>
      <c r="D807" s="736">
        <f t="shared" si="73"/>
        <v>10013578.558285715</v>
      </c>
      <c r="E807" s="789">
        <f t="shared" si="75"/>
        <v>385137.63685714285</v>
      </c>
      <c r="F807" s="789">
        <f t="shared" si="69"/>
        <v>9628440.9214285724</v>
      </c>
      <c r="G807" s="736">
        <f t="shared" si="74"/>
        <v>9821009.7398571447</v>
      </c>
      <c r="H807" s="794">
        <f>+J792*G807+E807</f>
        <v>1804311.1827047982</v>
      </c>
      <c r="I807" s="795">
        <f>+J793*G807+E807</f>
        <v>1804311.1827047982</v>
      </c>
      <c r="J807" s="792">
        <f t="shared" si="76"/>
        <v>0</v>
      </c>
      <c r="K807" s="792"/>
      <c r="L807" s="812"/>
      <c r="M807" s="792">
        <f t="shared" si="70"/>
        <v>0</v>
      </c>
      <c r="N807" s="812"/>
      <c r="O807" s="792">
        <f t="shared" si="71"/>
        <v>0</v>
      </c>
      <c r="P807" s="792">
        <f t="shared" si="72"/>
        <v>0</v>
      </c>
    </row>
    <row r="808" spans="3:16">
      <c r="C808" s="788">
        <f>IF(D791="","-",+C807+1)</f>
        <v>2025</v>
      </c>
      <c r="D808" s="736">
        <f t="shared" si="73"/>
        <v>9628440.9214285724</v>
      </c>
      <c r="E808" s="789">
        <f t="shared" si="75"/>
        <v>385137.63685714285</v>
      </c>
      <c r="F808" s="789">
        <f t="shared" si="69"/>
        <v>9243303.2845714297</v>
      </c>
      <c r="G808" s="736">
        <f t="shared" si="74"/>
        <v>9435872.1030000001</v>
      </c>
      <c r="H808" s="794">
        <f>+J792*G808+E808</f>
        <v>1748657.3181617525</v>
      </c>
      <c r="I808" s="795">
        <f>+J793*G808+E808</f>
        <v>1748657.3181617525</v>
      </c>
      <c r="J808" s="792">
        <f t="shared" si="76"/>
        <v>0</v>
      </c>
      <c r="K808" s="792"/>
      <c r="L808" s="812"/>
      <c r="M808" s="792">
        <f t="shared" si="70"/>
        <v>0</v>
      </c>
      <c r="N808" s="812"/>
      <c r="O808" s="792">
        <f t="shared" si="71"/>
        <v>0</v>
      </c>
      <c r="P808" s="792">
        <f t="shared" si="72"/>
        <v>0</v>
      </c>
    </row>
    <row r="809" spans="3:16">
      <c r="C809" s="788">
        <f>IF(D791="","-",+C808+1)</f>
        <v>2026</v>
      </c>
      <c r="D809" s="736">
        <f t="shared" si="73"/>
        <v>9243303.2845714297</v>
      </c>
      <c r="E809" s="789">
        <f t="shared" si="75"/>
        <v>385137.63685714285</v>
      </c>
      <c r="F809" s="789">
        <f t="shared" si="69"/>
        <v>8858165.647714287</v>
      </c>
      <c r="G809" s="736">
        <f t="shared" si="74"/>
        <v>9050734.4661428593</v>
      </c>
      <c r="H809" s="794">
        <f>+J792*G809+E809</f>
        <v>1693003.4536187076</v>
      </c>
      <c r="I809" s="795">
        <f>+J793*G809+E809</f>
        <v>1693003.4536187076</v>
      </c>
      <c r="J809" s="792">
        <f t="shared" si="76"/>
        <v>0</v>
      </c>
      <c r="K809" s="792"/>
      <c r="L809" s="812"/>
      <c r="M809" s="792">
        <f t="shared" si="70"/>
        <v>0</v>
      </c>
      <c r="N809" s="812"/>
      <c r="O809" s="792">
        <f t="shared" si="71"/>
        <v>0</v>
      </c>
      <c r="P809" s="792">
        <f t="shared" si="72"/>
        <v>0</v>
      </c>
    </row>
    <row r="810" spans="3:16">
      <c r="C810" s="788">
        <f>IF(D791="","-",+C809+1)</f>
        <v>2027</v>
      </c>
      <c r="D810" s="736">
        <f t="shared" si="73"/>
        <v>8858165.647714287</v>
      </c>
      <c r="E810" s="789">
        <f t="shared" si="75"/>
        <v>385137.63685714285</v>
      </c>
      <c r="F810" s="789">
        <f t="shared" si="69"/>
        <v>8473028.0108571444</v>
      </c>
      <c r="G810" s="736">
        <f t="shared" si="74"/>
        <v>8665596.8292857148</v>
      </c>
      <c r="H810" s="794">
        <f>+J792*G810+E810</f>
        <v>1637349.589075662</v>
      </c>
      <c r="I810" s="795">
        <f>+J793*G810+E810</f>
        <v>1637349.589075662</v>
      </c>
      <c r="J810" s="792">
        <f t="shared" si="76"/>
        <v>0</v>
      </c>
      <c r="K810" s="792"/>
      <c r="L810" s="812"/>
      <c r="M810" s="792">
        <f t="shared" si="70"/>
        <v>0</v>
      </c>
      <c r="N810" s="812"/>
      <c r="O810" s="792">
        <f t="shared" si="71"/>
        <v>0</v>
      </c>
      <c r="P810" s="792">
        <f t="shared" si="72"/>
        <v>0</v>
      </c>
    </row>
    <row r="811" spans="3:16">
      <c r="C811" s="788">
        <f>IF(D791="","-",+C810+1)</f>
        <v>2028</v>
      </c>
      <c r="D811" s="736">
        <f t="shared" si="73"/>
        <v>8473028.0108571444</v>
      </c>
      <c r="E811" s="789">
        <f t="shared" si="75"/>
        <v>385137.63685714285</v>
      </c>
      <c r="F811" s="789">
        <f t="shared" si="69"/>
        <v>8087890.3740000017</v>
      </c>
      <c r="G811" s="736">
        <f t="shared" si="74"/>
        <v>8280459.192428573</v>
      </c>
      <c r="H811" s="794">
        <f>+J792*G811+E811</f>
        <v>1581695.724532617</v>
      </c>
      <c r="I811" s="795">
        <f>+J793*G811+E811</f>
        <v>1581695.724532617</v>
      </c>
      <c r="J811" s="792">
        <f t="shared" si="76"/>
        <v>0</v>
      </c>
      <c r="K811" s="792"/>
      <c r="L811" s="812"/>
      <c r="M811" s="792">
        <f t="shared" si="70"/>
        <v>0</v>
      </c>
      <c r="N811" s="812"/>
      <c r="O811" s="792">
        <f t="shared" si="71"/>
        <v>0</v>
      </c>
      <c r="P811" s="792">
        <f t="shared" si="72"/>
        <v>0</v>
      </c>
    </row>
    <row r="812" spans="3:16">
      <c r="C812" s="788">
        <f>IF(D791="","-",+C811+1)</f>
        <v>2029</v>
      </c>
      <c r="D812" s="736">
        <f t="shared" si="73"/>
        <v>8087890.3740000017</v>
      </c>
      <c r="E812" s="789">
        <f t="shared" si="75"/>
        <v>385137.63685714285</v>
      </c>
      <c r="F812" s="789">
        <f t="shared" si="69"/>
        <v>7702752.737142859</v>
      </c>
      <c r="G812" s="736">
        <f t="shared" si="74"/>
        <v>7895321.5555714304</v>
      </c>
      <c r="H812" s="794">
        <f>+J792*G812+E812</f>
        <v>1526041.8599895716</v>
      </c>
      <c r="I812" s="795">
        <f>+J793*G812+E812</f>
        <v>1526041.8599895716</v>
      </c>
      <c r="J812" s="792">
        <f t="shared" si="76"/>
        <v>0</v>
      </c>
      <c r="K812" s="792"/>
      <c r="L812" s="812"/>
      <c r="M812" s="792">
        <f t="shared" si="70"/>
        <v>0</v>
      </c>
      <c r="N812" s="812"/>
      <c r="O812" s="792">
        <f t="shared" si="71"/>
        <v>0</v>
      </c>
      <c r="P812" s="792">
        <f t="shared" si="72"/>
        <v>0</v>
      </c>
    </row>
    <row r="813" spans="3:16">
      <c r="C813" s="788">
        <f>IF(D791="","-",+C812+1)</f>
        <v>2030</v>
      </c>
      <c r="D813" s="736">
        <f t="shared" si="73"/>
        <v>7702752.737142859</v>
      </c>
      <c r="E813" s="789">
        <f t="shared" si="75"/>
        <v>385137.63685714285</v>
      </c>
      <c r="F813" s="789">
        <f t="shared" si="69"/>
        <v>7317615.1002857164</v>
      </c>
      <c r="G813" s="736">
        <f t="shared" si="74"/>
        <v>7510183.9187142877</v>
      </c>
      <c r="H813" s="794">
        <f>+J792*G813+E813</f>
        <v>1470387.9954465264</v>
      </c>
      <c r="I813" s="795">
        <f>+J793*G813+E813</f>
        <v>1470387.9954465264</v>
      </c>
      <c r="J813" s="792">
        <f t="shared" si="76"/>
        <v>0</v>
      </c>
      <c r="K813" s="792"/>
      <c r="L813" s="812"/>
      <c r="M813" s="792">
        <f t="shared" si="70"/>
        <v>0</v>
      </c>
      <c r="N813" s="812"/>
      <c r="O813" s="792">
        <f t="shared" si="71"/>
        <v>0</v>
      </c>
      <c r="P813" s="792">
        <f t="shared" si="72"/>
        <v>0</v>
      </c>
    </row>
    <row r="814" spans="3:16">
      <c r="C814" s="788">
        <f>IF(D791="","-",+C813+1)</f>
        <v>2031</v>
      </c>
      <c r="D814" s="736">
        <f t="shared" si="73"/>
        <v>7317615.1002857164</v>
      </c>
      <c r="E814" s="789">
        <f t="shared" si="75"/>
        <v>385137.63685714285</v>
      </c>
      <c r="F814" s="789">
        <f t="shared" si="69"/>
        <v>6932477.4634285737</v>
      </c>
      <c r="G814" s="736">
        <f t="shared" si="74"/>
        <v>7125046.281857145</v>
      </c>
      <c r="H814" s="794">
        <f>+J792*G814+E814</f>
        <v>1414734.130903481</v>
      </c>
      <c r="I814" s="795">
        <f>+J793*G814+E814</f>
        <v>1414734.130903481</v>
      </c>
      <c r="J814" s="792">
        <f t="shared" si="76"/>
        <v>0</v>
      </c>
      <c r="K814" s="792"/>
      <c r="L814" s="812"/>
      <c r="M814" s="792">
        <f t="shared" si="70"/>
        <v>0</v>
      </c>
      <c r="N814" s="812"/>
      <c r="O814" s="792">
        <f t="shared" si="71"/>
        <v>0</v>
      </c>
      <c r="P814" s="792">
        <f t="shared" si="72"/>
        <v>0</v>
      </c>
    </row>
    <row r="815" spans="3:16">
      <c r="C815" s="788">
        <f>IF(D791="","-",+C814+1)</f>
        <v>2032</v>
      </c>
      <c r="D815" s="736">
        <f t="shared" si="73"/>
        <v>6932477.4634285737</v>
      </c>
      <c r="E815" s="789">
        <f t="shared" si="75"/>
        <v>385137.63685714285</v>
      </c>
      <c r="F815" s="789">
        <f t="shared" si="69"/>
        <v>6547339.826571431</v>
      </c>
      <c r="G815" s="736">
        <f t="shared" si="74"/>
        <v>6739908.6450000023</v>
      </c>
      <c r="H815" s="794">
        <f>+J792*G815+E815</f>
        <v>1359080.2663604359</v>
      </c>
      <c r="I815" s="795">
        <f>+J793*G815+E815</f>
        <v>1359080.2663604359</v>
      </c>
      <c r="J815" s="792">
        <f t="shared" si="76"/>
        <v>0</v>
      </c>
      <c r="K815" s="792"/>
      <c r="L815" s="812"/>
      <c r="M815" s="792">
        <f t="shared" si="70"/>
        <v>0</v>
      </c>
      <c r="N815" s="812"/>
      <c r="O815" s="792">
        <f t="shared" si="71"/>
        <v>0</v>
      </c>
      <c r="P815" s="792">
        <f t="shared" si="72"/>
        <v>0</v>
      </c>
    </row>
    <row r="816" spans="3:16">
      <c r="C816" s="788">
        <f>IF(D791="","-",+C815+1)</f>
        <v>2033</v>
      </c>
      <c r="D816" s="736">
        <f t="shared" si="73"/>
        <v>6547339.826571431</v>
      </c>
      <c r="E816" s="789">
        <f t="shared" si="75"/>
        <v>385137.63685714285</v>
      </c>
      <c r="F816" s="789">
        <f t="shared" si="69"/>
        <v>6162202.1897142883</v>
      </c>
      <c r="G816" s="736">
        <f t="shared" si="74"/>
        <v>6354771.0081428597</v>
      </c>
      <c r="H816" s="794">
        <f>+J792*G816+E816</f>
        <v>1303426.4018173905</v>
      </c>
      <c r="I816" s="795">
        <f>+J793*G816+E816</f>
        <v>1303426.4018173905</v>
      </c>
      <c r="J816" s="792">
        <f t="shared" si="76"/>
        <v>0</v>
      </c>
      <c r="K816" s="792"/>
      <c r="L816" s="812"/>
      <c r="M816" s="792">
        <f t="shared" si="70"/>
        <v>0</v>
      </c>
      <c r="N816" s="812"/>
      <c r="O816" s="792">
        <f t="shared" si="71"/>
        <v>0</v>
      </c>
      <c r="P816" s="792">
        <f t="shared" si="72"/>
        <v>0</v>
      </c>
    </row>
    <row r="817" spans="3:16">
      <c r="C817" s="788">
        <f>IF(D791="","-",+C816+1)</f>
        <v>2034</v>
      </c>
      <c r="D817" s="736">
        <f t="shared" si="73"/>
        <v>6162202.1897142883</v>
      </c>
      <c r="E817" s="789">
        <f t="shared" si="75"/>
        <v>385137.63685714285</v>
      </c>
      <c r="F817" s="789">
        <f t="shared" si="69"/>
        <v>5777064.5528571457</v>
      </c>
      <c r="G817" s="736">
        <f t="shared" si="74"/>
        <v>5969633.371285717</v>
      </c>
      <c r="H817" s="794">
        <f>+J792*G817+E817</f>
        <v>1247772.5372743453</v>
      </c>
      <c r="I817" s="795">
        <f>+J793*G817+E817</f>
        <v>1247772.5372743453</v>
      </c>
      <c r="J817" s="792">
        <f t="shared" si="76"/>
        <v>0</v>
      </c>
      <c r="K817" s="792"/>
      <c r="L817" s="812"/>
      <c r="M817" s="792">
        <f t="shared" si="70"/>
        <v>0</v>
      </c>
      <c r="N817" s="812"/>
      <c r="O817" s="792">
        <f t="shared" si="71"/>
        <v>0</v>
      </c>
      <c r="P817" s="792">
        <f t="shared" si="72"/>
        <v>0</v>
      </c>
    </row>
    <row r="818" spans="3:16">
      <c r="C818" s="788">
        <f>IF(D791="","-",+C817+1)</f>
        <v>2035</v>
      </c>
      <c r="D818" s="736">
        <f t="shared" si="73"/>
        <v>5777064.5528571457</v>
      </c>
      <c r="E818" s="789">
        <f t="shared" si="75"/>
        <v>385137.63685714285</v>
      </c>
      <c r="F818" s="789">
        <f t="shared" si="69"/>
        <v>5391926.916000003</v>
      </c>
      <c r="G818" s="736">
        <f t="shared" si="74"/>
        <v>5584495.7344285743</v>
      </c>
      <c r="H818" s="794">
        <f>+J792*G818+E818</f>
        <v>1192118.6727313001</v>
      </c>
      <c r="I818" s="795">
        <f>+J793*G818+E818</f>
        <v>1192118.6727313001</v>
      </c>
      <c r="J818" s="792">
        <f t="shared" si="76"/>
        <v>0</v>
      </c>
      <c r="K818" s="792"/>
      <c r="L818" s="812"/>
      <c r="M818" s="792">
        <f t="shared" si="70"/>
        <v>0</v>
      </c>
      <c r="N818" s="812"/>
      <c r="O818" s="792">
        <f t="shared" si="71"/>
        <v>0</v>
      </c>
      <c r="P818" s="792">
        <f t="shared" si="72"/>
        <v>0</v>
      </c>
    </row>
    <row r="819" spans="3:16">
      <c r="C819" s="788">
        <f>IF(D791="","-",+C818+1)</f>
        <v>2036</v>
      </c>
      <c r="D819" s="736">
        <f t="shared" si="73"/>
        <v>5391926.916000003</v>
      </c>
      <c r="E819" s="789">
        <f t="shared" si="75"/>
        <v>385137.63685714285</v>
      </c>
      <c r="F819" s="789">
        <f t="shared" si="69"/>
        <v>5006789.2791428603</v>
      </c>
      <c r="G819" s="736">
        <f t="shared" si="74"/>
        <v>5199358.0975714317</v>
      </c>
      <c r="H819" s="794">
        <f>+J792*G819+E819</f>
        <v>1136464.8081882547</v>
      </c>
      <c r="I819" s="795">
        <f>+J793*G819+E819</f>
        <v>1136464.8081882547</v>
      </c>
      <c r="J819" s="792">
        <f t="shared" si="76"/>
        <v>0</v>
      </c>
      <c r="K819" s="792"/>
      <c r="L819" s="812"/>
      <c r="M819" s="792">
        <f t="shared" si="70"/>
        <v>0</v>
      </c>
      <c r="N819" s="812"/>
      <c r="O819" s="792">
        <f t="shared" si="71"/>
        <v>0</v>
      </c>
      <c r="P819" s="792">
        <f t="shared" si="72"/>
        <v>0</v>
      </c>
    </row>
    <row r="820" spans="3:16">
      <c r="C820" s="788">
        <f>IF(D791="","-",+C819+1)</f>
        <v>2037</v>
      </c>
      <c r="D820" s="736">
        <f t="shared" si="73"/>
        <v>5006789.2791428603</v>
      </c>
      <c r="E820" s="789">
        <f t="shared" si="75"/>
        <v>385137.63685714285</v>
      </c>
      <c r="F820" s="789">
        <f t="shared" si="69"/>
        <v>4621651.6422857177</v>
      </c>
      <c r="G820" s="736">
        <f t="shared" si="74"/>
        <v>4814220.460714289</v>
      </c>
      <c r="H820" s="794">
        <f>+J792*G820+E820</f>
        <v>1080810.9436452095</v>
      </c>
      <c r="I820" s="795">
        <f>+J793*G820+E820</f>
        <v>1080810.9436452095</v>
      </c>
      <c r="J820" s="792">
        <f t="shared" si="76"/>
        <v>0</v>
      </c>
      <c r="K820" s="792"/>
      <c r="L820" s="812"/>
      <c r="M820" s="792">
        <f t="shared" si="70"/>
        <v>0</v>
      </c>
      <c r="N820" s="812"/>
      <c r="O820" s="792">
        <f t="shared" si="71"/>
        <v>0</v>
      </c>
      <c r="P820" s="792">
        <f t="shared" si="72"/>
        <v>0</v>
      </c>
    </row>
    <row r="821" spans="3:16">
      <c r="C821" s="788">
        <f>IF(D791="","-",+C820+1)</f>
        <v>2038</v>
      </c>
      <c r="D821" s="736">
        <f t="shared" si="73"/>
        <v>4621651.6422857177</v>
      </c>
      <c r="E821" s="789">
        <f t="shared" si="75"/>
        <v>385137.63685714285</v>
      </c>
      <c r="F821" s="789">
        <f t="shared" si="69"/>
        <v>4236514.005428575</v>
      </c>
      <c r="G821" s="736">
        <f t="shared" si="74"/>
        <v>4429082.8238571463</v>
      </c>
      <c r="H821" s="794">
        <f>+J792*G821+E821</f>
        <v>1025157.0791021641</v>
      </c>
      <c r="I821" s="795">
        <f>+J793*G821+E821</f>
        <v>1025157.0791021641</v>
      </c>
      <c r="J821" s="792">
        <f t="shared" si="76"/>
        <v>0</v>
      </c>
      <c r="K821" s="792"/>
      <c r="L821" s="812"/>
      <c r="M821" s="792">
        <f t="shared" si="70"/>
        <v>0</v>
      </c>
      <c r="N821" s="812"/>
      <c r="O821" s="792">
        <f t="shared" si="71"/>
        <v>0</v>
      </c>
      <c r="P821" s="792">
        <f t="shared" si="72"/>
        <v>0</v>
      </c>
    </row>
    <row r="822" spans="3:16">
      <c r="C822" s="788">
        <f>IF(D791="","-",+C821+1)</f>
        <v>2039</v>
      </c>
      <c r="D822" s="736">
        <f t="shared" si="73"/>
        <v>4236514.005428575</v>
      </c>
      <c r="E822" s="789">
        <f t="shared" si="75"/>
        <v>385137.63685714285</v>
      </c>
      <c r="F822" s="789">
        <f t="shared" si="69"/>
        <v>3851376.3685714323</v>
      </c>
      <c r="G822" s="736">
        <f t="shared" si="74"/>
        <v>4043945.1870000036</v>
      </c>
      <c r="H822" s="794">
        <f>+J792*G822+E822</f>
        <v>969503.21455911896</v>
      </c>
      <c r="I822" s="795">
        <f>+J793*G822+E822</f>
        <v>969503.21455911896</v>
      </c>
      <c r="J822" s="792">
        <f t="shared" si="76"/>
        <v>0</v>
      </c>
      <c r="K822" s="792"/>
      <c r="L822" s="812"/>
      <c r="M822" s="792">
        <f t="shared" si="70"/>
        <v>0</v>
      </c>
      <c r="N822" s="812"/>
      <c r="O822" s="792">
        <f t="shared" si="71"/>
        <v>0</v>
      </c>
      <c r="P822" s="792">
        <f t="shared" si="72"/>
        <v>0</v>
      </c>
    </row>
    <row r="823" spans="3:16">
      <c r="C823" s="788">
        <f>IF(D791="","-",+C822+1)</f>
        <v>2040</v>
      </c>
      <c r="D823" s="736">
        <f t="shared" si="73"/>
        <v>3851376.3685714323</v>
      </c>
      <c r="E823" s="789">
        <f t="shared" si="75"/>
        <v>385137.63685714285</v>
      </c>
      <c r="F823" s="789">
        <f t="shared" si="69"/>
        <v>3466238.7317142896</v>
      </c>
      <c r="G823" s="736">
        <f t="shared" si="74"/>
        <v>3658807.550142861</v>
      </c>
      <c r="H823" s="794">
        <f>+J792*G823+E823</f>
        <v>913849.35001607379</v>
      </c>
      <c r="I823" s="795">
        <f>+J793*G823+E823</f>
        <v>913849.35001607379</v>
      </c>
      <c r="J823" s="792">
        <f t="shared" si="76"/>
        <v>0</v>
      </c>
      <c r="K823" s="792"/>
      <c r="L823" s="812"/>
      <c r="M823" s="792">
        <f t="shared" si="70"/>
        <v>0</v>
      </c>
      <c r="N823" s="812"/>
      <c r="O823" s="792">
        <f t="shared" si="71"/>
        <v>0</v>
      </c>
      <c r="P823" s="792">
        <f t="shared" si="72"/>
        <v>0</v>
      </c>
    </row>
    <row r="824" spans="3:16">
      <c r="C824" s="788">
        <f>IF(D791="","-",+C823+1)</f>
        <v>2041</v>
      </c>
      <c r="D824" s="736">
        <f t="shared" si="73"/>
        <v>3466238.7317142896</v>
      </c>
      <c r="E824" s="789">
        <f t="shared" si="75"/>
        <v>385137.63685714285</v>
      </c>
      <c r="F824" s="789">
        <f t="shared" si="69"/>
        <v>3081101.094857147</v>
      </c>
      <c r="G824" s="736">
        <f t="shared" si="74"/>
        <v>3273669.9132857183</v>
      </c>
      <c r="H824" s="794">
        <f>+J792*G824+E824</f>
        <v>858195.48547302838</v>
      </c>
      <c r="I824" s="795">
        <f>+J793*G824+E824</f>
        <v>858195.48547302838</v>
      </c>
      <c r="J824" s="792">
        <f t="shared" si="76"/>
        <v>0</v>
      </c>
      <c r="K824" s="792"/>
      <c r="L824" s="812"/>
      <c r="M824" s="792">
        <f t="shared" si="70"/>
        <v>0</v>
      </c>
      <c r="N824" s="812"/>
      <c r="O824" s="792">
        <f t="shared" si="71"/>
        <v>0</v>
      </c>
      <c r="P824" s="792">
        <f t="shared" si="72"/>
        <v>0</v>
      </c>
    </row>
    <row r="825" spans="3:16">
      <c r="C825" s="788">
        <f>IF(D791="","-",+C824+1)</f>
        <v>2042</v>
      </c>
      <c r="D825" s="736">
        <f t="shared" si="73"/>
        <v>3081101.094857147</v>
      </c>
      <c r="E825" s="789">
        <f t="shared" si="75"/>
        <v>385137.63685714285</v>
      </c>
      <c r="F825" s="789">
        <f t="shared" si="69"/>
        <v>2695963.4580000043</v>
      </c>
      <c r="G825" s="736">
        <f t="shared" si="74"/>
        <v>2888532.2764285756</v>
      </c>
      <c r="H825" s="794">
        <f>+J792*G825+E825</f>
        <v>802541.62092998321</v>
      </c>
      <c r="I825" s="795">
        <f>+J793*G825+E825</f>
        <v>802541.62092998321</v>
      </c>
      <c r="J825" s="792">
        <f t="shared" si="76"/>
        <v>0</v>
      </c>
      <c r="K825" s="792"/>
      <c r="L825" s="812"/>
      <c r="M825" s="792">
        <f t="shared" si="70"/>
        <v>0</v>
      </c>
      <c r="N825" s="812"/>
      <c r="O825" s="792">
        <f t="shared" si="71"/>
        <v>0</v>
      </c>
      <c r="P825" s="792">
        <f t="shared" si="72"/>
        <v>0</v>
      </c>
    </row>
    <row r="826" spans="3:16">
      <c r="C826" s="788">
        <f>IF(D791="","-",+C825+1)</f>
        <v>2043</v>
      </c>
      <c r="D826" s="736">
        <f t="shared" si="73"/>
        <v>2695963.4580000043</v>
      </c>
      <c r="E826" s="789">
        <f t="shared" si="75"/>
        <v>385137.63685714285</v>
      </c>
      <c r="F826" s="789">
        <f t="shared" si="69"/>
        <v>2310825.8211428616</v>
      </c>
      <c r="G826" s="736">
        <f t="shared" si="74"/>
        <v>2503394.639571433</v>
      </c>
      <c r="H826" s="794">
        <f>+J792*G826+E826</f>
        <v>746887.75638693781</v>
      </c>
      <c r="I826" s="795">
        <f>+J793*G826+E826</f>
        <v>746887.75638693781</v>
      </c>
      <c r="J826" s="792">
        <f t="shared" si="76"/>
        <v>0</v>
      </c>
      <c r="K826" s="792"/>
      <c r="L826" s="812"/>
      <c r="M826" s="792">
        <f t="shared" si="70"/>
        <v>0</v>
      </c>
      <c r="N826" s="812"/>
      <c r="O826" s="792">
        <f t="shared" si="71"/>
        <v>0</v>
      </c>
      <c r="P826" s="792">
        <f t="shared" si="72"/>
        <v>0</v>
      </c>
    </row>
    <row r="827" spans="3:16">
      <c r="C827" s="788">
        <f>IF(D791="","-",+C826+1)</f>
        <v>2044</v>
      </c>
      <c r="D827" s="736">
        <f t="shared" si="73"/>
        <v>2310825.8211428616</v>
      </c>
      <c r="E827" s="789">
        <f t="shared" si="75"/>
        <v>385137.63685714285</v>
      </c>
      <c r="F827" s="789">
        <f t="shared" si="69"/>
        <v>1925688.1842857187</v>
      </c>
      <c r="G827" s="736">
        <f t="shared" si="74"/>
        <v>2118257.0027142903</v>
      </c>
      <c r="H827" s="794">
        <f>+J792*G827+E827</f>
        <v>691233.89184389263</v>
      </c>
      <c r="I827" s="795">
        <f>+J793*G827+E827</f>
        <v>691233.89184389263</v>
      </c>
      <c r="J827" s="792">
        <f t="shared" si="76"/>
        <v>0</v>
      </c>
      <c r="K827" s="792"/>
      <c r="L827" s="812"/>
      <c r="M827" s="792">
        <f t="shared" si="70"/>
        <v>0</v>
      </c>
      <c r="N827" s="812"/>
      <c r="O827" s="792">
        <f t="shared" si="71"/>
        <v>0</v>
      </c>
      <c r="P827" s="792">
        <f t="shared" si="72"/>
        <v>0</v>
      </c>
    </row>
    <row r="828" spans="3:16">
      <c r="C828" s="788">
        <f>IF(D791="","-",+C827+1)</f>
        <v>2045</v>
      </c>
      <c r="D828" s="736">
        <f t="shared" si="73"/>
        <v>1925688.1842857187</v>
      </c>
      <c r="E828" s="789">
        <f t="shared" si="75"/>
        <v>385137.63685714285</v>
      </c>
      <c r="F828" s="789">
        <f t="shared" si="69"/>
        <v>1540550.5474285758</v>
      </c>
      <c r="G828" s="736">
        <f t="shared" si="74"/>
        <v>1733119.3658571471</v>
      </c>
      <c r="H828" s="794">
        <f>+J792*G828+E828</f>
        <v>635580.02730084723</v>
      </c>
      <c r="I828" s="795">
        <f>+J793*G828+E828</f>
        <v>635580.02730084723</v>
      </c>
      <c r="J828" s="792">
        <f t="shared" si="76"/>
        <v>0</v>
      </c>
      <c r="K828" s="792"/>
      <c r="L828" s="812"/>
      <c r="M828" s="792">
        <f t="shared" si="70"/>
        <v>0</v>
      </c>
      <c r="N828" s="812"/>
      <c r="O828" s="792">
        <f t="shared" si="71"/>
        <v>0</v>
      </c>
      <c r="P828" s="792">
        <f t="shared" si="72"/>
        <v>0</v>
      </c>
    </row>
    <row r="829" spans="3:16">
      <c r="C829" s="788">
        <f>IF(D791="","-",+C828+1)</f>
        <v>2046</v>
      </c>
      <c r="D829" s="736">
        <f t="shared" si="73"/>
        <v>1540550.5474285758</v>
      </c>
      <c r="E829" s="789">
        <f t="shared" si="75"/>
        <v>385137.63685714285</v>
      </c>
      <c r="F829" s="789">
        <f t="shared" si="69"/>
        <v>1155412.9105714329</v>
      </c>
      <c r="G829" s="736">
        <f t="shared" si="74"/>
        <v>1347981.7290000045</v>
      </c>
      <c r="H829" s="794">
        <f>+J792*G829+E829</f>
        <v>579926.16275780206</v>
      </c>
      <c r="I829" s="795">
        <f>+J793*G829+E829</f>
        <v>579926.16275780206</v>
      </c>
      <c r="J829" s="792">
        <f t="shared" si="76"/>
        <v>0</v>
      </c>
      <c r="K829" s="792"/>
      <c r="L829" s="812"/>
      <c r="M829" s="792">
        <f t="shared" si="70"/>
        <v>0</v>
      </c>
      <c r="N829" s="812"/>
      <c r="O829" s="792">
        <f t="shared" si="71"/>
        <v>0</v>
      </c>
      <c r="P829" s="792">
        <f t="shared" si="72"/>
        <v>0</v>
      </c>
    </row>
    <row r="830" spans="3:16">
      <c r="C830" s="788">
        <f>IF(D791="","-",+C829+1)</f>
        <v>2047</v>
      </c>
      <c r="D830" s="736">
        <f t="shared" si="73"/>
        <v>1155412.9105714329</v>
      </c>
      <c r="E830" s="789">
        <f t="shared" si="75"/>
        <v>385137.63685714285</v>
      </c>
      <c r="F830" s="789">
        <f t="shared" si="69"/>
        <v>770275.27371429</v>
      </c>
      <c r="G830" s="736">
        <f t="shared" si="74"/>
        <v>962844.09214286145</v>
      </c>
      <c r="H830" s="794">
        <f>+J792*G830+E830</f>
        <v>524272.29821475671</v>
      </c>
      <c r="I830" s="795">
        <f>+J793*G830+E830</f>
        <v>524272.29821475671</v>
      </c>
      <c r="J830" s="792">
        <f t="shared" si="76"/>
        <v>0</v>
      </c>
      <c r="K830" s="792"/>
      <c r="L830" s="812"/>
      <c r="M830" s="792">
        <f t="shared" si="70"/>
        <v>0</v>
      </c>
      <c r="N830" s="812"/>
      <c r="O830" s="792">
        <f t="shared" si="71"/>
        <v>0</v>
      </c>
      <c r="P830" s="792">
        <f t="shared" si="72"/>
        <v>0</v>
      </c>
    </row>
    <row r="831" spans="3:16">
      <c r="C831" s="788">
        <f>IF(D791="","-",+C830+1)</f>
        <v>2048</v>
      </c>
      <c r="D831" s="736">
        <f t="shared" si="73"/>
        <v>770275.27371429</v>
      </c>
      <c r="E831" s="789">
        <f t="shared" si="75"/>
        <v>385137.63685714285</v>
      </c>
      <c r="F831" s="789">
        <f t="shared" si="69"/>
        <v>385137.63685714715</v>
      </c>
      <c r="G831" s="736">
        <f t="shared" si="74"/>
        <v>577706.45528571855</v>
      </c>
      <c r="H831" s="794">
        <f>+J792*G831+E831</f>
        <v>468618.43367171142</v>
      </c>
      <c r="I831" s="795">
        <f>+J793*G831+E831</f>
        <v>468618.43367171142</v>
      </c>
      <c r="J831" s="792">
        <f t="shared" si="76"/>
        <v>0</v>
      </c>
      <c r="K831" s="792"/>
      <c r="L831" s="812"/>
      <c r="M831" s="792">
        <f t="shared" si="70"/>
        <v>0</v>
      </c>
      <c r="N831" s="812"/>
      <c r="O831" s="792">
        <f t="shared" si="71"/>
        <v>0</v>
      </c>
      <c r="P831" s="792">
        <f t="shared" si="72"/>
        <v>0</v>
      </c>
    </row>
    <row r="832" spans="3:16">
      <c r="C832" s="788">
        <f>IF(D791="","-",+C831+1)</f>
        <v>2049</v>
      </c>
      <c r="D832" s="736">
        <f t="shared" si="73"/>
        <v>385137.63685714715</v>
      </c>
      <c r="E832" s="789">
        <f t="shared" si="75"/>
        <v>385137.63685714285</v>
      </c>
      <c r="F832" s="789">
        <f t="shared" si="69"/>
        <v>4.3073669075965881E-9</v>
      </c>
      <c r="G832" s="736">
        <f t="shared" si="74"/>
        <v>192568.81842857573</v>
      </c>
      <c r="H832" s="794">
        <f>+J792*G832+E832</f>
        <v>412964.56912866613</v>
      </c>
      <c r="I832" s="795">
        <f>+J793*G832+E832</f>
        <v>412964.56912866613</v>
      </c>
      <c r="J832" s="792">
        <f t="shared" si="76"/>
        <v>0</v>
      </c>
      <c r="K832" s="792"/>
      <c r="L832" s="812"/>
      <c r="M832" s="792">
        <f t="shared" si="70"/>
        <v>0</v>
      </c>
      <c r="N832" s="812"/>
      <c r="O832" s="792">
        <f t="shared" si="71"/>
        <v>0</v>
      </c>
      <c r="P832" s="792">
        <f t="shared" si="72"/>
        <v>0</v>
      </c>
    </row>
    <row r="833" spans="3:16">
      <c r="C833" s="788">
        <f>IF(D791="","-",+C832+1)</f>
        <v>2050</v>
      </c>
      <c r="D833" s="736">
        <f t="shared" si="73"/>
        <v>4.3073669075965881E-9</v>
      </c>
      <c r="E833" s="789">
        <f t="shared" si="75"/>
        <v>4.3073669075965881E-9</v>
      </c>
      <c r="F833" s="789">
        <f t="shared" si="69"/>
        <v>0</v>
      </c>
      <c r="G833" s="736">
        <f t="shared" si="74"/>
        <v>2.1536834537982941E-9</v>
      </c>
      <c r="H833" s="794">
        <f>+J792*G833+E833</f>
        <v>4.6185824205347528E-9</v>
      </c>
      <c r="I833" s="795">
        <f>+J793*G833+E833</f>
        <v>4.6185824205347528E-9</v>
      </c>
      <c r="J833" s="792">
        <f t="shared" si="76"/>
        <v>0</v>
      </c>
      <c r="K833" s="792"/>
      <c r="L833" s="812"/>
      <c r="M833" s="792">
        <f t="shared" si="70"/>
        <v>0</v>
      </c>
      <c r="N833" s="812"/>
      <c r="O833" s="792">
        <f t="shared" si="71"/>
        <v>0</v>
      </c>
      <c r="P833" s="792">
        <f t="shared" si="72"/>
        <v>0</v>
      </c>
    </row>
    <row r="834" spans="3:16">
      <c r="C834" s="788">
        <f>IF(D791="","-",+C833+1)</f>
        <v>2051</v>
      </c>
      <c r="D834" s="736">
        <f t="shared" si="73"/>
        <v>0</v>
      </c>
      <c r="E834" s="789">
        <f t="shared" si="75"/>
        <v>0</v>
      </c>
      <c r="F834" s="789">
        <f t="shared" si="69"/>
        <v>0</v>
      </c>
      <c r="G834" s="736">
        <f t="shared" si="74"/>
        <v>0</v>
      </c>
      <c r="H834" s="794">
        <f>+J792*G834+E834</f>
        <v>0</v>
      </c>
      <c r="I834" s="795">
        <f>+J793*G834+E834</f>
        <v>0</v>
      </c>
      <c r="J834" s="792">
        <f t="shared" si="76"/>
        <v>0</v>
      </c>
      <c r="K834" s="792"/>
      <c r="L834" s="812"/>
      <c r="M834" s="792">
        <f t="shared" si="70"/>
        <v>0</v>
      </c>
      <c r="N834" s="812"/>
      <c r="O834" s="792">
        <f t="shared" si="71"/>
        <v>0</v>
      </c>
      <c r="P834" s="792">
        <f t="shared" si="72"/>
        <v>0</v>
      </c>
    </row>
    <row r="835" spans="3:16">
      <c r="C835" s="788">
        <f>IF(D791="","-",+C834+1)</f>
        <v>2052</v>
      </c>
      <c r="D835" s="736">
        <f t="shared" si="73"/>
        <v>0</v>
      </c>
      <c r="E835" s="789">
        <f t="shared" si="75"/>
        <v>0</v>
      </c>
      <c r="F835" s="789">
        <f t="shared" si="69"/>
        <v>0</v>
      </c>
      <c r="G835" s="736">
        <f t="shared" si="74"/>
        <v>0</v>
      </c>
      <c r="H835" s="794">
        <f>+J792*G835+E835</f>
        <v>0</v>
      </c>
      <c r="I835" s="795">
        <f>+J793*G835+E835</f>
        <v>0</v>
      </c>
      <c r="J835" s="792">
        <f t="shared" si="76"/>
        <v>0</v>
      </c>
      <c r="K835" s="792"/>
      <c r="L835" s="812"/>
      <c r="M835" s="792">
        <f t="shared" si="70"/>
        <v>0</v>
      </c>
      <c r="N835" s="812"/>
      <c r="O835" s="792">
        <f t="shared" si="71"/>
        <v>0</v>
      </c>
      <c r="P835" s="792">
        <f t="shared" si="72"/>
        <v>0</v>
      </c>
    </row>
    <row r="836" spans="3:16">
      <c r="C836" s="788">
        <f>IF(D791="","-",+C835+1)</f>
        <v>2053</v>
      </c>
      <c r="D836" s="736">
        <f t="shared" si="73"/>
        <v>0</v>
      </c>
      <c r="E836" s="789">
        <f t="shared" si="75"/>
        <v>0</v>
      </c>
      <c r="F836" s="789">
        <f t="shared" si="69"/>
        <v>0</v>
      </c>
      <c r="G836" s="736">
        <f t="shared" si="74"/>
        <v>0</v>
      </c>
      <c r="H836" s="794">
        <f>+J792*G836+E836</f>
        <v>0</v>
      </c>
      <c r="I836" s="795">
        <f>+J793*G836+E836</f>
        <v>0</v>
      </c>
      <c r="J836" s="792">
        <f t="shared" si="76"/>
        <v>0</v>
      </c>
      <c r="K836" s="792"/>
      <c r="L836" s="812"/>
      <c r="M836" s="792">
        <f t="shared" si="70"/>
        <v>0</v>
      </c>
      <c r="N836" s="812"/>
      <c r="O836" s="792">
        <f t="shared" si="71"/>
        <v>0</v>
      </c>
      <c r="P836" s="792">
        <f t="shared" si="72"/>
        <v>0</v>
      </c>
    </row>
    <row r="837" spans="3:16">
      <c r="C837" s="788">
        <f>IF(D791="","-",+C836+1)</f>
        <v>2054</v>
      </c>
      <c r="D837" s="736">
        <f t="shared" si="73"/>
        <v>0</v>
      </c>
      <c r="E837" s="789">
        <f t="shared" si="75"/>
        <v>0</v>
      </c>
      <c r="F837" s="789">
        <f t="shared" si="69"/>
        <v>0</v>
      </c>
      <c r="G837" s="736">
        <f t="shared" si="74"/>
        <v>0</v>
      </c>
      <c r="H837" s="794">
        <f>+J792*G837+E837</f>
        <v>0</v>
      </c>
      <c r="I837" s="795">
        <f>+J793*G837+E837</f>
        <v>0</v>
      </c>
      <c r="J837" s="792">
        <f t="shared" si="76"/>
        <v>0</v>
      </c>
      <c r="K837" s="792"/>
      <c r="L837" s="812"/>
      <c r="M837" s="792">
        <f t="shared" si="70"/>
        <v>0</v>
      </c>
      <c r="N837" s="812"/>
      <c r="O837" s="792">
        <f t="shared" si="71"/>
        <v>0</v>
      </c>
      <c r="P837" s="792">
        <f t="shared" si="72"/>
        <v>0</v>
      </c>
    </row>
    <row r="838" spans="3:16">
      <c r="C838" s="788">
        <f>IF(D791="","-",+C837+1)</f>
        <v>2055</v>
      </c>
      <c r="D838" s="736">
        <f t="shared" si="73"/>
        <v>0</v>
      </c>
      <c r="E838" s="789">
        <f t="shared" si="75"/>
        <v>0</v>
      </c>
      <c r="F838" s="789">
        <f t="shared" si="69"/>
        <v>0</v>
      </c>
      <c r="G838" s="736">
        <f t="shared" si="74"/>
        <v>0</v>
      </c>
      <c r="H838" s="794">
        <f>+J792*G838+E838</f>
        <v>0</v>
      </c>
      <c r="I838" s="795">
        <f>+J793*G838+E838</f>
        <v>0</v>
      </c>
      <c r="J838" s="792">
        <f t="shared" si="76"/>
        <v>0</v>
      </c>
      <c r="K838" s="792"/>
      <c r="L838" s="812"/>
      <c r="M838" s="792">
        <f t="shared" si="70"/>
        <v>0</v>
      </c>
      <c r="N838" s="812"/>
      <c r="O838" s="792">
        <f t="shared" si="71"/>
        <v>0</v>
      </c>
      <c r="P838" s="792">
        <f t="shared" si="72"/>
        <v>0</v>
      </c>
    </row>
    <row r="839" spans="3:16">
      <c r="C839" s="788">
        <f>IF(D791="","-",+C838+1)</f>
        <v>2056</v>
      </c>
      <c r="D839" s="736">
        <f t="shared" si="73"/>
        <v>0</v>
      </c>
      <c r="E839" s="789">
        <f t="shared" si="75"/>
        <v>0</v>
      </c>
      <c r="F839" s="789">
        <f t="shared" si="69"/>
        <v>0</v>
      </c>
      <c r="G839" s="736">
        <f t="shared" si="74"/>
        <v>0</v>
      </c>
      <c r="H839" s="794">
        <f>+J792*G839+E839</f>
        <v>0</v>
      </c>
      <c r="I839" s="795">
        <f>+J793*G839+E839</f>
        <v>0</v>
      </c>
      <c r="J839" s="792">
        <f t="shared" si="76"/>
        <v>0</v>
      </c>
      <c r="K839" s="792"/>
      <c r="L839" s="812"/>
      <c r="M839" s="792">
        <f t="shared" si="70"/>
        <v>0</v>
      </c>
      <c r="N839" s="812"/>
      <c r="O839" s="792">
        <f t="shared" si="71"/>
        <v>0</v>
      </c>
      <c r="P839" s="792">
        <f t="shared" si="72"/>
        <v>0</v>
      </c>
    </row>
    <row r="840" spans="3:16">
      <c r="C840" s="788">
        <f>IF(D791="","-",+C839+1)</f>
        <v>2057</v>
      </c>
      <c r="D840" s="736">
        <f t="shared" si="73"/>
        <v>0</v>
      </c>
      <c r="E840" s="789">
        <f t="shared" si="75"/>
        <v>0</v>
      </c>
      <c r="F840" s="789">
        <f t="shared" si="69"/>
        <v>0</v>
      </c>
      <c r="G840" s="736">
        <f t="shared" si="74"/>
        <v>0</v>
      </c>
      <c r="H840" s="794">
        <f>+J792*G840+E840</f>
        <v>0</v>
      </c>
      <c r="I840" s="795">
        <f>+J793*G840+E840</f>
        <v>0</v>
      </c>
      <c r="J840" s="792">
        <f t="shared" si="76"/>
        <v>0</v>
      </c>
      <c r="K840" s="792"/>
      <c r="L840" s="812"/>
      <c r="M840" s="792">
        <f t="shared" si="70"/>
        <v>0</v>
      </c>
      <c r="N840" s="812"/>
      <c r="O840" s="792">
        <f t="shared" si="71"/>
        <v>0</v>
      </c>
      <c r="P840" s="792">
        <f t="shared" si="72"/>
        <v>0</v>
      </c>
    </row>
    <row r="841" spans="3:16">
      <c r="C841" s="788">
        <f>IF(D791="","-",+C840+1)</f>
        <v>2058</v>
      </c>
      <c r="D841" s="736">
        <f t="shared" si="73"/>
        <v>0</v>
      </c>
      <c r="E841" s="789">
        <f t="shared" si="75"/>
        <v>0</v>
      </c>
      <c r="F841" s="789">
        <f t="shared" si="69"/>
        <v>0</v>
      </c>
      <c r="G841" s="736">
        <f t="shared" si="74"/>
        <v>0</v>
      </c>
      <c r="H841" s="794">
        <f>+J792*G841+E841</f>
        <v>0</v>
      </c>
      <c r="I841" s="795">
        <f>+J793*G841+E841</f>
        <v>0</v>
      </c>
      <c r="J841" s="792">
        <f t="shared" si="76"/>
        <v>0</v>
      </c>
      <c r="K841" s="792"/>
      <c r="L841" s="812"/>
      <c r="M841" s="792">
        <f t="shared" si="70"/>
        <v>0</v>
      </c>
      <c r="N841" s="812"/>
      <c r="O841" s="792">
        <f t="shared" si="71"/>
        <v>0</v>
      </c>
      <c r="P841" s="792">
        <f t="shared" si="72"/>
        <v>0</v>
      </c>
    </row>
    <row r="842" spans="3:16">
      <c r="C842" s="788">
        <f>IF(D791="","-",+C841+1)</f>
        <v>2059</v>
      </c>
      <c r="D842" s="736">
        <f t="shared" si="73"/>
        <v>0</v>
      </c>
      <c r="E842" s="789">
        <f t="shared" si="75"/>
        <v>0</v>
      </c>
      <c r="F842" s="789">
        <f t="shared" si="69"/>
        <v>0</v>
      </c>
      <c r="G842" s="736">
        <f t="shared" si="74"/>
        <v>0</v>
      </c>
      <c r="H842" s="794">
        <f>+J792*G842+E842</f>
        <v>0</v>
      </c>
      <c r="I842" s="795">
        <f>+J793*G842+E842</f>
        <v>0</v>
      </c>
      <c r="J842" s="792">
        <f t="shared" si="76"/>
        <v>0</v>
      </c>
      <c r="K842" s="792"/>
      <c r="L842" s="812"/>
      <c r="M842" s="792">
        <f t="shared" si="70"/>
        <v>0</v>
      </c>
      <c r="N842" s="812"/>
      <c r="O842" s="792">
        <f t="shared" si="71"/>
        <v>0</v>
      </c>
      <c r="P842" s="792">
        <f t="shared" si="72"/>
        <v>0</v>
      </c>
    </row>
    <row r="843" spans="3:16">
      <c r="C843" s="788">
        <f>IF(D791="","-",+C842+1)</f>
        <v>2060</v>
      </c>
      <c r="D843" s="736">
        <f t="shared" si="73"/>
        <v>0</v>
      </c>
      <c r="E843" s="789">
        <f t="shared" si="75"/>
        <v>0</v>
      </c>
      <c r="F843" s="789">
        <f t="shared" si="69"/>
        <v>0</v>
      </c>
      <c r="G843" s="736">
        <f t="shared" si="74"/>
        <v>0</v>
      </c>
      <c r="H843" s="794">
        <f>+J792*G843+E843</f>
        <v>0</v>
      </c>
      <c r="I843" s="795">
        <f>+J793*G843+E843</f>
        <v>0</v>
      </c>
      <c r="J843" s="792">
        <f t="shared" si="76"/>
        <v>0</v>
      </c>
      <c r="K843" s="792"/>
      <c r="L843" s="812"/>
      <c r="M843" s="792">
        <f t="shared" si="70"/>
        <v>0</v>
      </c>
      <c r="N843" s="812"/>
      <c r="O843" s="792">
        <f t="shared" si="71"/>
        <v>0</v>
      </c>
      <c r="P843" s="792">
        <f t="shared" si="72"/>
        <v>0</v>
      </c>
    </row>
    <row r="844" spans="3:16">
      <c r="C844" s="788">
        <f>IF(D791="","-",+C843+1)</f>
        <v>2061</v>
      </c>
      <c r="D844" s="736">
        <f t="shared" si="73"/>
        <v>0</v>
      </c>
      <c r="E844" s="789">
        <f t="shared" si="75"/>
        <v>0</v>
      </c>
      <c r="F844" s="789">
        <f t="shared" si="69"/>
        <v>0</v>
      </c>
      <c r="G844" s="736">
        <f t="shared" si="74"/>
        <v>0</v>
      </c>
      <c r="H844" s="794">
        <f>+J792*G844+E844</f>
        <v>0</v>
      </c>
      <c r="I844" s="795">
        <f>+J793*G844+E844</f>
        <v>0</v>
      </c>
      <c r="J844" s="792">
        <f t="shared" si="76"/>
        <v>0</v>
      </c>
      <c r="K844" s="792"/>
      <c r="L844" s="812"/>
      <c r="M844" s="792">
        <f t="shared" si="70"/>
        <v>0</v>
      </c>
      <c r="N844" s="812"/>
      <c r="O844" s="792">
        <f t="shared" si="71"/>
        <v>0</v>
      </c>
      <c r="P844" s="792">
        <f t="shared" si="72"/>
        <v>0</v>
      </c>
    </row>
    <row r="845" spans="3:16">
      <c r="C845" s="788">
        <f>IF(D791="","-",+C844+1)</f>
        <v>2062</v>
      </c>
      <c r="D845" s="736">
        <f t="shared" si="73"/>
        <v>0</v>
      </c>
      <c r="E845" s="789">
        <f t="shared" si="75"/>
        <v>0</v>
      </c>
      <c r="F845" s="789">
        <f t="shared" si="69"/>
        <v>0</v>
      </c>
      <c r="G845" s="736">
        <f t="shared" si="74"/>
        <v>0</v>
      </c>
      <c r="H845" s="794">
        <f>+J792*G845+E845</f>
        <v>0</v>
      </c>
      <c r="I845" s="795">
        <f>+J793*G845+E845</f>
        <v>0</v>
      </c>
      <c r="J845" s="792">
        <f t="shared" si="76"/>
        <v>0</v>
      </c>
      <c r="K845" s="792"/>
      <c r="L845" s="812"/>
      <c r="M845" s="792">
        <f t="shared" si="70"/>
        <v>0</v>
      </c>
      <c r="N845" s="812"/>
      <c r="O845" s="792">
        <f t="shared" si="71"/>
        <v>0</v>
      </c>
      <c r="P845" s="792">
        <f t="shared" si="72"/>
        <v>0</v>
      </c>
    </row>
    <row r="846" spans="3:16">
      <c r="C846" s="788">
        <f>IF(D791="","-",+C845+1)</f>
        <v>2063</v>
      </c>
      <c r="D846" s="736">
        <f t="shared" si="73"/>
        <v>0</v>
      </c>
      <c r="E846" s="789">
        <f t="shared" si="75"/>
        <v>0</v>
      </c>
      <c r="F846" s="789">
        <f t="shared" si="69"/>
        <v>0</v>
      </c>
      <c r="G846" s="736">
        <f t="shared" si="74"/>
        <v>0</v>
      </c>
      <c r="H846" s="794">
        <f>+J792*G846+E846</f>
        <v>0</v>
      </c>
      <c r="I846" s="795">
        <f>+J793*G846+E846</f>
        <v>0</v>
      </c>
      <c r="J846" s="792">
        <f t="shared" si="76"/>
        <v>0</v>
      </c>
      <c r="K846" s="792"/>
      <c r="L846" s="812"/>
      <c r="M846" s="792">
        <f t="shared" si="70"/>
        <v>0</v>
      </c>
      <c r="N846" s="812"/>
      <c r="O846" s="792">
        <f t="shared" si="71"/>
        <v>0</v>
      </c>
      <c r="P846" s="792">
        <f t="shared" si="72"/>
        <v>0</v>
      </c>
    </row>
    <row r="847" spans="3:16">
      <c r="C847" s="788">
        <f>IF(D791="","-",+C846+1)</f>
        <v>2064</v>
      </c>
      <c r="D847" s="736">
        <f t="shared" si="73"/>
        <v>0</v>
      </c>
      <c r="E847" s="789">
        <f t="shared" si="75"/>
        <v>0</v>
      </c>
      <c r="F847" s="789">
        <f t="shared" si="69"/>
        <v>0</v>
      </c>
      <c r="G847" s="736">
        <f t="shared" si="74"/>
        <v>0</v>
      </c>
      <c r="H847" s="794">
        <f>+J792*G847+E847</f>
        <v>0</v>
      </c>
      <c r="I847" s="795">
        <f>+J793*G847+E847</f>
        <v>0</v>
      </c>
      <c r="J847" s="792">
        <f t="shared" si="76"/>
        <v>0</v>
      </c>
      <c r="K847" s="792"/>
      <c r="L847" s="812"/>
      <c r="M847" s="792">
        <f t="shared" si="70"/>
        <v>0</v>
      </c>
      <c r="N847" s="812"/>
      <c r="O847" s="792">
        <f t="shared" si="71"/>
        <v>0</v>
      </c>
      <c r="P847" s="792">
        <f t="shared" si="72"/>
        <v>0</v>
      </c>
    </row>
    <row r="848" spans="3:16">
      <c r="C848" s="788">
        <f>IF(D791="","-",+C847+1)</f>
        <v>2065</v>
      </c>
      <c r="D848" s="736">
        <f t="shared" si="73"/>
        <v>0</v>
      </c>
      <c r="E848" s="789">
        <f t="shared" si="75"/>
        <v>0</v>
      </c>
      <c r="F848" s="789">
        <f t="shared" si="69"/>
        <v>0</v>
      </c>
      <c r="G848" s="736">
        <f t="shared" si="74"/>
        <v>0</v>
      </c>
      <c r="H848" s="794">
        <f>+J792*G848+E848</f>
        <v>0</v>
      </c>
      <c r="I848" s="795">
        <f>+J793*G848+E848</f>
        <v>0</v>
      </c>
      <c r="J848" s="792">
        <f t="shared" si="76"/>
        <v>0</v>
      </c>
      <c r="K848" s="792"/>
      <c r="L848" s="812"/>
      <c r="M848" s="792">
        <f t="shared" si="70"/>
        <v>0</v>
      </c>
      <c r="N848" s="812"/>
      <c r="O848" s="792">
        <f t="shared" si="71"/>
        <v>0</v>
      </c>
      <c r="P848" s="792">
        <f t="shared" si="72"/>
        <v>0</v>
      </c>
    </row>
    <row r="849" spans="3:16">
      <c r="C849" s="788">
        <f>IF(D791="","-",+C848+1)</f>
        <v>2066</v>
      </c>
      <c r="D849" s="736">
        <f t="shared" si="73"/>
        <v>0</v>
      </c>
      <c r="E849" s="789">
        <f t="shared" si="75"/>
        <v>0</v>
      </c>
      <c r="F849" s="789">
        <f t="shared" si="69"/>
        <v>0</v>
      </c>
      <c r="G849" s="736">
        <f t="shared" si="74"/>
        <v>0</v>
      </c>
      <c r="H849" s="794">
        <f>+J792*G849+E849</f>
        <v>0</v>
      </c>
      <c r="I849" s="795">
        <f>+J793*G849+E849</f>
        <v>0</v>
      </c>
      <c r="J849" s="792">
        <f t="shared" si="76"/>
        <v>0</v>
      </c>
      <c r="K849" s="792"/>
      <c r="L849" s="812"/>
      <c r="M849" s="792">
        <f t="shared" si="70"/>
        <v>0</v>
      </c>
      <c r="N849" s="812"/>
      <c r="O849" s="792">
        <f t="shared" si="71"/>
        <v>0</v>
      </c>
      <c r="P849" s="792">
        <f t="shared" si="72"/>
        <v>0</v>
      </c>
    </row>
    <row r="850" spans="3:16">
      <c r="C850" s="788">
        <f>IF(D791="","-",+C849+1)</f>
        <v>2067</v>
      </c>
      <c r="D850" s="736">
        <f t="shared" si="73"/>
        <v>0</v>
      </c>
      <c r="E850" s="789">
        <f t="shared" si="75"/>
        <v>0</v>
      </c>
      <c r="F850" s="789">
        <f t="shared" si="69"/>
        <v>0</v>
      </c>
      <c r="G850" s="736">
        <f t="shared" si="74"/>
        <v>0</v>
      </c>
      <c r="H850" s="794">
        <f>+J792*G850+E850</f>
        <v>0</v>
      </c>
      <c r="I850" s="795">
        <f>+J793*G850+E850</f>
        <v>0</v>
      </c>
      <c r="J850" s="792">
        <f t="shared" si="76"/>
        <v>0</v>
      </c>
      <c r="K850" s="792"/>
      <c r="L850" s="812"/>
      <c r="M850" s="792">
        <f t="shared" si="70"/>
        <v>0</v>
      </c>
      <c r="N850" s="812"/>
      <c r="O850" s="792">
        <f t="shared" si="71"/>
        <v>0</v>
      </c>
      <c r="P850" s="792">
        <f t="shared" si="72"/>
        <v>0</v>
      </c>
    </row>
    <row r="851" spans="3:16">
      <c r="C851" s="788">
        <f>IF(D791="","-",+C850+1)</f>
        <v>2068</v>
      </c>
      <c r="D851" s="736">
        <f t="shared" si="73"/>
        <v>0</v>
      </c>
      <c r="E851" s="789">
        <f t="shared" si="75"/>
        <v>0</v>
      </c>
      <c r="F851" s="789">
        <f t="shared" si="69"/>
        <v>0</v>
      </c>
      <c r="G851" s="736">
        <f t="shared" si="74"/>
        <v>0</v>
      </c>
      <c r="H851" s="794">
        <f>+J792*G851+E851</f>
        <v>0</v>
      </c>
      <c r="I851" s="795">
        <f>+J793*G851+E851</f>
        <v>0</v>
      </c>
      <c r="J851" s="792">
        <f t="shared" si="76"/>
        <v>0</v>
      </c>
      <c r="K851" s="792"/>
      <c r="L851" s="812"/>
      <c r="M851" s="792">
        <f t="shared" si="70"/>
        <v>0</v>
      </c>
      <c r="N851" s="812"/>
      <c r="O851" s="792">
        <f t="shared" si="71"/>
        <v>0</v>
      </c>
      <c r="P851" s="792">
        <f t="shared" si="72"/>
        <v>0</v>
      </c>
    </row>
    <row r="852" spans="3:16">
      <c r="C852" s="788">
        <f>IF(D791="","-",+C851+1)</f>
        <v>2069</v>
      </c>
      <c r="D852" s="736">
        <f t="shared" si="73"/>
        <v>0</v>
      </c>
      <c r="E852" s="789">
        <f t="shared" si="75"/>
        <v>0</v>
      </c>
      <c r="F852" s="789">
        <f t="shared" si="69"/>
        <v>0</v>
      </c>
      <c r="G852" s="736">
        <f t="shared" si="74"/>
        <v>0</v>
      </c>
      <c r="H852" s="794">
        <f>+J792*G852+E852</f>
        <v>0</v>
      </c>
      <c r="I852" s="795">
        <f>+J793*G852+E852</f>
        <v>0</v>
      </c>
      <c r="J852" s="792">
        <f t="shared" si="76"/>
        <v>0</v>
      </c>
      <c r="K852" s="792"/>
      <c r="L852" s="812"/>
      <c r="M852" s="792">
        <f t="shared" si="70"/>
        <v>0</v>
      </c>
      <c r="N852" s="812"/>
      <c r="O852" s="792">
        <f t="shared" si="71"/>
        <v>0</v>
      </c>
      <c r="P852" s="792">
        <f t="shared" si="72"/>
        <v>0</v>
      </c>
    </row>
    <row r="853" spans="3:16">
      <c r="C853" s="788">
        <f>IF(D791="","-",+C852+1)</f>
        <v>2070</v>
      </c>
      <c r="D853" s="736">
        <f t="shared" si="73"/>
        <v>0</v>
      </c>
      <c r="E853" s="789">
        <f t="shared" si="75"/>
        <v>0</v>
      </c>
      <c r="F853" s="789">
        <f t="shared" si="69"/>
        <v>0</v>
      </c>
      <c r="G853" s="736">
        <f t="shared" si="74"/>
        <v>0</v>
      </c>
      <c r="H853" s="794">
        <f>+J792*G853+E853</f>
        <v>0</v>
      </c>
      <c r="I853" s="795">
        <f>+J793*G853+E853</f>
        <v>0</v>
      </c>
      <c r="J853" s="792">
        <f t="shared" si="76"/>
        <v>0</v>
      </c>
      <c r="K853" s="792"/>
      <c r="L853" s="812"/>
      <c r="M853" s="792">
        <f t="shared" si="70"/>
        <v>0</v>
      </c>
      <c r="N853" s="812"/>
      <c r="O853" s="792">
        <f t="shared" si="71"/>
        <v>0</v>
      </c>
      <c r="P853" s="792">
        <f t="shared" si="72"/>
        <v>0</v>
      </c>
    </row>
    <row r="854" spans="3:16">
      <c r="C854" s="788">
        <f>IF(D791="","-",+C853+1)</f>
        <v>2071</v>
      </c>
      <c r="D854" s="736">
        <f t="shared" si="73"/>
        <v>0</v>
      </c>
      <c r="E854" s="789">
        <f t="shared" si="75"/>
        <v>0</v>
      </c>
      <c r="F854" s="789">
        <f t="shared" si="69"/>
        <v>0</v>
      </c>
      <c r="G854" s="736">
        <f t="shared" si="74"/>
        <v>0</v>
      </c>
      <c r="H854" s="794">
        <f>+J792*G854+E854</f>
        <v>0</v>
      </c>
      <c r="I854" s="795">
        <f>+J793*G854+E854</f>
        <v>0</v>
      </c>
      <c r="J854" s="792">
        <f t="shared" si="76"/>
        <v>0</v>
      </c>
      <c r="K854" s="792"/>
      <c r="L854" s="812"/>
      <c r="M854" s="792">
        <f t="shared" si="70"/>
        <v>0</v>
      </c>
      <c r="N854" s="812"/>
      <c r="O854" s="792">
        <f t="shared" si="71"/>
        <v>0</v>
      </c>
      <c r="P854" s="792">
        <f t="shared" si="72"/>
        <v>0</v>
      </c>
    </row>
    <row r="855" spans="3:16">
      <c r="C855" s="788">
        <f>IF(D791="","-",+C854+1)</f>
        <v>2072</v>
      </c>
      <c r="D855" s="736">
        <f t="shared" si="73"/>
        <v>0</v>
      </c>
      <c r="E855" s="789">
        <f t="shared" si="75"/>
        <v>0</v>
      </c>
      <c r="F855" s="789">
        <f t="shared" si="69"/>
        <v>0</v>
      </c>
      <c r="G855" s="736">
        <f t="shared" si="74"/>
        <v>0</v>
      </c>
      <c r="H855" s="794">
        <f>+J792*G855+E855</f>
        <v>0</v>
      </c>
      <c r="I855" s="795">
        <f>+J793*G855+E855</f>
        <v>0</v>
      </c>
      <c r="J855" s="792">
        <f t="shared" si="76"/>
        <v>0</v>
      </c>
      <c r="K855" s="792"/>
      <c r="L855" s="812"/>
      <c r="M855" s="792">
        <f t="shared" si="70"/>
        <v>0</v>
      </c>
      <c r="N855" s="812"/>
      <c r="O855" s="792">
        <f t="shared" si="71"/>
        <v>0</v>
      </c>
      <c r="P855" s="792">
        <f t="shared" si="72"/>
        <v>0</v>
      </c>
    </row>
    <row r="856" spans="3:16" ht="13.5" thickBot="1">
      <c r="C856" s="798">
        <f>IF(D791="","-",+C855+1)</f>
        <v>2073</v>
      </c>
      <c r="D856" s="799">
        <f t="shared" si="73"/>
        <v>0</v>
      </c>
      <c r="E856" s="800">
        <f t="shared" si="75"/>
        <v>0</v>
      </c>
      <c r="F856" s="1322">
        <f t="shared" si="69"/>
        <v>0</v>
      </c>
      <c r="G856" s="799">
        <f t="shared" si="74"/>
        <v>0</v>
      </c>
      <c r="H856" s="801">
        <f>+J792*G856+E856</f>
        <v>0</v>
      </c>
      <c r="I856" s="801">
        <f>+J793*G856+E856</f>
        <v>0</v>
      </c>
      <c r="J856" s="802">
        <f t="shared" si="76"/>
        <v>0</v>
      </c>
      <c r="K856" s="792"/>
      <c r="L856" s="813"/>
      <c r="M856" s="802">
        <f t="shared" si="70"/>
        <v>0</v>
      </c>
      <c r="N856" s="813"/>
      <c r="O856" s="802">
        <f t="shared" si="71"/>
        <v>0</v>
      </c>
      <c r="P856" s="802">
        <f t="shared" si="72"/>
        <v>0</v>
      </c>
    </row>
    <row r="857" spans="3:16">
      <c r="C857" s="736" t="s">
        <v>83</v>
      </c>
      <c r="D857" s="730"/>
      <c r="E857" s="730">
        <f>SUM(E797:E856)</f>
        <v>13479817.289999999</v>
      </c>
      <c r="F857" s="730"/>
      <c r="G857" s="730"/>
      <c r="H857" s="730">
        <f>SUM(H797:H856)</f>
        <v>49515694.581621848</v>
      </c>
      <c r="I857" s="730">
        <f>SUM(I797:I856)</f>
        <v>49515694.581621848</v>
      </c>
      <c r="J857" s="730">
        <f>SUM(J797:J856)</f>
        <v>0</v>
      </c>
      <c r="K857" s="730"/>
      <c r="L857" s="730"/>
      <c r="M857" s="730"/>
      <c r="N857" s="730"/>
      <c r="O857" s="730"/>
    </row>
    <row r="858" spans="3:16">
      <c r="D858" s="538"/>
      <c r="E858" s="313"/>
      <c r="F858" s="313"/>
      <c r="G858" s="313"/>
      <c r="H858" s="313"/>
      <c r="I858" s="708"/>
      <c r="J858" s="708"/>
      <c r="K858" s="730"/>
      <c r="L858" s="708"/>
      <c r="M858" s="708"/>
      <c r="N858" s="708"/>
      <c r="O858" s="708"/>
    </row>
    <row r="859" spans="3:16">
      <c r="C859" s="313" t="s">
        <v>13</v>
      </c>
      <c r="D859" s="538"/>
      <c r="E859" s="313"/>
      <c r="F859" s="313"/>
      <c r="G859" s="313"/>
      <c r="H859" s="313"/>
      <c r="I859" s="708"/>
      <c r="J859" s="708"/>
      <c r="K859" s="730"/>
      <c r="L859" s="708"/>
      <c r="M859" s="708"/>
      <c r="N859" s="708"/>
      <c r="O859" s="708"/>
    </row>
    <row r="860" spans="3:16">
      <c r="C860" s="313"/>
      <c r="D860" s="538"/>
      <c r="E860" s="313"/>
      <c r="F860" s="313"/>
      <c r="G860" s="313"/>
      <c r="H860" s="313"/>
      <c r="I860" s="708"/>
      <c r="J860" s="708"/>
      <c r="K860" s="730"/>
      <c r="L860" s="708"/>
      <c r="M860" s="708"/>
      <c r="N860" s="708"/>
      <c r="O860" s="708"/>
    </row>
    <row r="861" spans="3:16">
      <c r="C861" s="749" t="s">
        <v>14</v>
      </c>
      <c r="D861" s="736"/>
      <c r="E861" s="736"/>
      <c r="F861" s="736"/>
      <c r="G861" s="736"/>
      <c r="H861" s="730"/>
      <c r="I861" s="730"/>
      <c r="J861" s="804"/>
      <c r="K861" s="804"/>
      <c r="L861" s="804"/>
      <c r="M861" s="804"/>
      <c r="N861" s="804"/>
      <c r="O861" s="804"/>
    </row>
    <row r="862" spans="3:16">
      <c r="C862" s="735" t="s">
        <v>263</v>
      </c>
      <c r="D862" s="736"/>
      <c r="E862" s="736"/>
      <c r="F862" s="736"/>
      <c r="G862" s="736"/>
      <c r="H862" s="730"/>
      <c r="I862" s="730"/>
      <c r="J862" s="804"/>
      <c r="K862" s="804"/>
      <c r="L862" s="804"/>
      <c r="M862" s="804"/>
      <c r="N862" s="804"/>
      <c r="O862" s="804"/>
    </row>
    <row r="863" spans="3:16">
      <c r="C863" s="735" t="s">
        <v>84</v>
      </c>
      <c r="D863" s="736"/>
      <c r="E863" s="736"/>
      <c r="F863" s="736"/>
      <c r="G863" s="736"/>
      <c r="H863" s="730"/>
      <c r="I863" s="730"/>
      <c r="J863" s="804"/>
      <c r="K863" s="804"/>
      <c r="L863" s="804"/>
      <c r="M863" s="804"/>
      <c r="N863" s="804"/>
      <c r="O863" s="804"/>
    </row>
    <row r="865" spans="1:17" ht="20.25">
      <c r="A865" s="737" t="str">
        <f>""&amp;A790&amp;" Worksheet K -  ATRR TRUE-UP Calculation for PJM Projects Charged to Benefiting Zones"</f>
        <v xml:space="preserve"> Worksheet K -  ATRR TRUE-UP Calculation for PJM Projects Charged to Benefiting Zones</v>
      </c>
      <c r="B865" s="347"/>
      <c r="C865" s="725"/>
      <c r="D865" s="538"/>
      <c r="E865" s="313"/>
      <c r="F865" s="707"/>
      <c r="G865" s="707"/>
      <c r="H865" s="313"/>
      <c r="I865" s="708"/>
      <c r="L865" s="564"/>
      <c r="M865" s="564"/>
      <c r="N865" s="564"/>
      <c r="O865" s="653" t="str">
        <f>"Page "&amp;SUM(Q$8:Q865)&amp;" of "</f>
        <v xml:space="preserve">Page 11 of </v>
      </c>
      <c r="P865" s="654">
        <f>COUNT(Q$8:Q$57703)</f>
        <v>22</v>
      </c>
      <c r="Q865" s="655">
        <v>1</v>
      </c>
    </row>
    <row r="866" spans="1:17">
      <c r="B866" s="347"/>
      <c r="C866" s="313"/>
      <c r="D866" s="538"/>
      <c r="E866" s="313"/>
      <c r="F866" s="313"/>
      <c r="G866" s="313"/>
      <c r="H866" s="313"/>
      <c r="I866" s="708"/>
      <c r="J866" s="313"/>
      <c r="K866" s="426"/>
    </row>
    <row r="867" spans="1:17" ht="18">
      <c r="B867" s="657" t="s">
        <v>466</v>
      </c>
      <c r="C867" s="739" t="s">
        <v>85</v>
      </c>
      <c r="D867" s="538"/>
      <c r="E867" s="313"/>
      <c r="F867" s="313"/>
      <c r="G867" s="313"/>
      <c r="H867" s="313"/>
      <c r="I867" s="708"/>
      <c r="J867" s="708"/>
      <c r="K867" s="730"/>
      <c r="L867" s="708"/>
      <c r="M867" s="708"/>
      <c r="N867" s="708"/>
      <c r="O867" s="708"/>
    </row>
    <row r="868" spans="1:17" ht="18.75">
      <c r="B868" s="657"/>
      <c r="C868" s="656"/>
      <c r="D868" s="538"/>
      <c r="E868" s="313"/>
      <c r="F868" s="313"/>
      <c r="G868" s="313"/>
      <c r="H868" s="313"/>
      <c r="I868" s="708"/>
      <c r="J868" s="708"/>
      <c r="K868" s="730"/>
      <c r="L868" s="708"/>
      <c r="M868" s="708"/>
      <c r="N868" s="708"/>
      <c r="O868" s="708"/>
    </row>
    <row r="869" spans="1:17" ht="18.75">
      <c r="B869" s="657"/>
      <c r="C869" s="656" t="s">
        <v>86</v>
      </c>
      <c r="D869" s="538"/>
      <c r="E869" s="313"/>
      <c r="F869" s="313"/>
      <c r="G869" s="313"/>
      <c r="H869" s="313"/>
      <c r="I869" s="708"/>
      <c r="J869" s="708"/>
      <c r="K869" s="730"/>
      <c r="L869" s="708"/>
      <c r="M869" s="708"/>
      <c r="N869" s="708"/>
      <c r="O869" s="708"/>
    </row>
    <row r="870" spans="1:17" ht="15.75" thickBot="1">
      <c r="C870" s="239"/>
      <c r="D870" s="538"/>
      <c r="E870" s="313"/>
      <c r="F870" s="313"/>
      <c r="G870" s="313"/>
      <c r="H870" s="313"/>
      <c r="I870" s="708"/>
      <c r="J870" s="708"/>
      <c r="K870" s="730"/>
      <c r="L870" s="708"/>
      <c r="M870" s="708"/>
      <c r="N870" s="708"/>
      <c r="O870" s="708"/>
    </row>
    <row r="871" spans="1:17" ht="15.75">
      <c r="C871" s="659" t="s">
        <v>87</v>
      </c>
      <c r="D871" s="538"/>
      <c r="E871" s="313"/>
      <c r="F871" s="313"/>
      <c r="G871" s="313"/>
      <c r="H871" s="806"/>
      <c r="I871" s="313" t="s">
        <v>66</v>
      </c>
      <c r="J871" s="313"/>
      <c r="K871" s="426"/>
      <c r="L871" s="835">
        <f>+J877</f>
        <v>2023</v>
      </c>
      <c r="M871" s="816" t="s">
        <v>45</v>
      </c>
      <c r="N871" s="816" t="s">
        <v>46</v>
      </c>
      <c r="O871" s="817" t="s">
        <v>47</v>
      </c>
    </row>
    <row r="872" spans="1:17" ht="15.75">
      <c r="C872" s="659"/>
      <c r="D872" s="538"/>
      <c r="E872" s="313"/>
      <c r="F872" s="313"/>
      <c r="H872" s="313"/>
      <c r="I872" s="744"/>
      <c r="J872" s="744"/>
      <c r="K872" s="745"/>
      <c r="L872" s="836" t="s">
        <v>235</v>
      </c>
      <c r="M872" s="837">
        <f>VLOOKUP(J877,C884:P943,10)</f>
        <v>0</v>
      </c>
      <c r="N872" s="837">
        <f>VLOOKUP(J877,C884:P943,12)</f>
        <v>0</v>
      </c>
      <c r="O872" s="838">
        <f>+N872-M872</f>
        <v>0</v>
      </c>
    </row>
    <row r="873" spans="1:17" ht="12.95" customHeight="1">
      <c r="C873" s="749" t="s">
        <v>88</v>
      </c>
      <c r="D873" s="1546" t="s">
        <v>816</v>
      </c>
      <c r="E873" s="1546"/>
      <c r="F873" s="1546"/>
      <c r="G873" s="1546"/>
      <c r="H873" s="1546"/>
      <c r="I873" s="1546"/>
      <c r="J873" s="708"/>
      <c r="K873" s="730"/>
      <c r="L873" s="836" t="s">
        <v>236</v>
      </c>
      <c r="M873" s="839">
        <f>VLOOKUP(J877,C884:P943,6)</f>
        <v>0</v>
      </c>
      <c r="N873" s="839">
        <f>VLOOKUP(J877,C884:P943,7)</f>
        <v>0</v>
      </c>
      <c r="O873" s="840">
        <f>+N873-M873</f>
        <v>0</v>
      </c>
    </row>
    <row r="874" spans="1:17" ht="13.5" thickBot="1">
      <c r="C874" s="753"/>
      <c r="D874" s="1546" t="s">
        <v>408</v>
      </c>
      <c r="E874" s="1546"/>
      <c r="F874" s="1546"/>
      <c r="G874" s="1546"/>
      <c r="H874" s="1546"/>
      <c r="I874" s="1546"/>
      <c r="J874" s="708"/>
      <c r="K874" s="730"/>
      <c r="L874" s="772" t="s">
        <v>237</v>
      </c>
      <c r="M874" s="841">
        <f>+M873-M872</f>
        <v>0</v>
      </c>
      <c r="N874" s="841">
        <f>+N873-N872</f>
        <v>0</v>
      </c>
      <c r="O874" s="842">
        <f>+O873-O872</f>
        <v>0</v>
      </c>
    </row>
    <row r="875" spans="1:17" ht="13.5" thickBot="1">
      <c r="C875" s="756"/>
      <c r="D875" s="757"/>
      <c r="E875" s="755"/>
      <c r="F875" s="755"/>
      <c r="G875" s="755"/>
      <c r="H875" s="755"/>
      <c r="I875" s="755"/>
      <c r="J875" s="755"/>
      <c r="K875" s="758"/>
      <c r="L875" s="755"/>
      <c r="M875" s="755"/>
      <c r="N875" s="755"/>
      <c r="O875" s="755"/>
      <c r="P875" s="347"/>
    </row>
    <row r="876" spans="1:17" ht="13.5" thickBot="1">
      <c r="C876" s="759" t="s">
        <v>89</v>
      </c>
      <c r="D876" s="760"/>
      <c r="E876" s="760"/>
      <c r="F876" s="760"/>
      <c r="G876" s="760"/>
      <c r="H876" s="760"/>
      <c r="I876" s="760"/>
      <c r="J876" s="760"/>
      <c r="K876" s="762"/>
      <c r="P876" s="763"/>
    </row>
    <row r="877" spans="1:17" ht="15">
      <c r="C877" s="764" t="s">
        <v>67</v>
      </c>
      <c r="D877" s="808">
        <v>0</v>
      </c>
      <c r="E877" s="725" t="s">
        <v>68</v>
      </c>
      <c r="H877" s="765"/>
      <c r="I877" s="765"/>
      <c r="J877" s="766">
        <f>$J$93</f>
        <v>2023</v>
      </c>
      <c r="K877" s="554"/>
      <c r="L877" s="1536" t="s">
        <v>69</v>
      </c>
      <c r="M877" s="1536"/>
      <c r="N877" s="1536"/>
      <c r="O877" s="1536"/>
      <c r="P877" s="426"/>
    </row>
    <row r="878" spans="1:17">
      <c r="C878" s="764" t="s">
        <v>70</v>
      </c>
      <c r="D878" s="809">
        <v>2014</v>
      </c>
      <c r="E878" s="764" t="s">
        <v>71</v>
      </c>
      <c r="F878" s="765"/>
      <c r="G878" s="765"/>
      <c r="I878" s="172"/>
      <c r="J878" s="810">
        <f>IF(H871="",0,$F$17)</f>
        <v>0</v>
      </c>
      <c r="K878" s="767"/>
      <c r="L878" s="730" t="s">
        <v>277</v>
      </c>
      <c r="P878" s="426"/>
    </row>
    <row r="879" spans="1:17">
      <c r="C879" s="764" t="s">
        <v>72</v>
      </c>
      <c r="D879" s="808">
        <v>12</v>
      </c>
      <c r="E879" s="764" t="s">
        <v>73</v>
      </c>
      <c r="F879" s="765"/>
      <c r="G879" s="765"/>
      <c r="I879" s="172"/>
      <c r="J879" s="768">
        <f>$F$70</f>
        <v>0.14450383244078713</v>
      </c>
      <c r="K879" s="769"/>
      <c r="L879" s="313" t="str">
        <f>"          INPUT TRUE-UP ARR (WITH &amp; WITHOUT INCENTIVES) FROM EACH PRIOR YEAR"</f>
        <v xml:space="preserve">          INPUT TRUE-UP ARR (WITH &amp; WITHOUT INCENTIVES) FROM EACH PRIOR YEAR</v>
      </c>
      <c r="P879" s="426"/>
    </row>
    <row r="880" spans="1:17">
      <c r="C880" s="764" t="s">
        <v>74</v>
      </c>
      <c r="D880" s="770">
        <f>H$79</f>
        <v>35</v>
      </c>
      <c r="E880" s="764" t="s">
        <v>75</v>
      </c>
      <c r="F880" s="765"/>
      <c r="G880" s="765"/>
      <c r="I880" s="172"/>
      <c r="J880" s="768">
        <f>IF(H871="",+J879,$F$69)</f>
        <v>0.14450383244078713</v>
      </c>
      <c r="K880" s="771"/>
      <c r="L880" s="313" t="s">
        <v>157</v>
      </c>
      <c r="M880" s="771"/>
      <c r="N880" s="771"/>
      <c r="O880" s="771"/>
      <c r="P880" s="426"/>
    </row>
    <row r="881" spans="2:16" ht="13.5" thickBot="1">
      <c r="C881" s="764" t="s">
        <v>76</v>
      </c>
      <c r="D881" s="807" t="s">
        <v>808</v>
      </c>
      <c r="E881" s="772" t="s">
        <v>77</v>
      </c>
      <c r="F881" s="773"/>
      <c r="G881" s="773"/>
      <c r="H881" s="774"/>
      <c r="I881" s="774"/>
      <c r="J881" s="752">
        <f>IF(D877=0,0,D877/D880)</f>
        <v>0</v>
      </c>
      <c r="K881" s="730"/>
      <c r="L881" s="730" t="s">
        <v>158</v>
      </c>
      <c r="M881" s="730"/>
      <c r="N881" s="730"/>
      <c r="O881" s="730"/>
      <c r="P881" s="426"/>
    </row>
    <row r="882" spans="2:16" ht="38.25">
      <c r="B882" s="845"/>
      <c r="C882" s="775" t="s">
        <v>67</v>
      </c>
      <c r="D882" s="776" t="s">
        <v>78</v>
      </c>
      <c r="E882" s="777" t="s">
        <v>79</v>
      </c>
      <c r="F882" s="776" t="s">
        <v>80</v>
      </c>
      <c r="G882" s="776" t="s">
        <v>238</v>
      </c>
      <c r="H882" s="777" t="s">
        <v>151</v>
      </c>
      <c r="I882" s="778" t="s">
        <v>151</v>
      </c>
      <c r="J882" s="775" t="s">
        <v>90</v>
      </c>
      <c r="K882" s="779"/>
      <c r="L882" s="777" t="s">
        <v>153</v>
      </c>
      <c r="M882" s="777" t="s">
        <v>159</v>
      </c>
      <c r="N882" s="777" t="s">
        <v>153</v>
      </c>
      <c r="O882" s="777" t="s">
        <v>161</v>
      </c>
      <c r="P882" s="777" t="s">
        <v>81</v>
      </c>
    </row>
    <row r="883" spans="2:16" ht="13.5" thickBot="1">
      <c r="C883" s="781" t="s">
        <v>469</v>
      </c>
      <c r="D883" s="782" t="s">
        <v>470</v>
      </c>
      <c r="E883" s="781" t="s">
        <v>363</v>
      </c>
      <c r="F883" s="782" t="s">
        <v>470</v>
      </c>
      <c r="G883" s="782" t="s">
        <v>470</v>
      </c>
      <c r="H883" s="783" t="s">
        <v>93</v>
      </c>
      <c r="I883" s="784" t="s">
        <v>95</v>
      </c>
      <c r="J883" s="785" t="s">
        <v>15</v>
      </c>
      <c r="K883" s="786"/>
      <c r="L883" s="783" t="s">
        <v>82</v>
      </c>
      <c r="M883" s="783" t="s">
        <v>82</v>
      </c>
      <c r="N883" s="783" t="s">
        <v>255</v>
      </c>
      <c r="O883" s="783" t="s">
        <v>255</v>
      </c>
      <c r="P883" s="783" t="s">
        <v>255</v>
      </c>
    </row>
    <row r="884" spans="2:16">
      <c r="C884" s="788">
        <f>IF(D878= "","-",D878)</f>
        <v>2014</v>
      </c>
      <c r="D884" s="736">
        <f>+D877</f>
        <v>0</v>
      </c>
      <c r="E884" s="794">
        <f>+J881/12*(12-D879)</f>
        <v>0</v>
      </c>
      <c r="F884" s="843">
        <f t="shared" ref="F884:F943" si="77">+D884-E884</f>
        <v>0</v>
      </c>
      <c r="G884" s="736">
        <f>+(D884+F884)/2</f>
        <v>0</v>
      </c>
      <c r="H884" s="790">
        <f>+J879*G884+E884</f>
        <v>0</v>
      </c>
      <c r="I884" s="791">
        <f>+J880*G884+E884</f>
        <v>0</v>
      </c>
      <c r="J884" s="792">
        <f>+I884-H884</f>
        <v>0</v>
      </c>
      <c r="K884" s="792"/>
      <c r="L884" s="811">
        <v>1502768</v>
      </c>
      <c r="M884" s="844">
        <f t="shared" ref="M884:M943" si="78">IF(L884&lt;&gt;0,+H884-L884,0)</f>
        <v>-1502768</v>
      </c>
      <c r="N884" s="811">
        <v>1502768</v>
      </c>
      <c r="O884" s="844">
        <f t="shared" ref="O884:O943" si="79">IF(N884&lt;&gt;0,+I884-N884,0)</f>
        <v>-1502768</v>
      </c>
      <c r="P884" s="844">
        <f t="shared" ref="P884:P943" si="80">+O884-M884</f>
        <v>0</v>
      </c>
    </row>
    <row r="885" spans="2:16">
      <c r="C885" s="788">
        <f>IF(D878="","-",+C884+1)</f>
        <v>2015</v>
      </c>
      <c r="D885" s="736">
        <f t="shared" ref="D885:D943" si="81">F884</f>
        <v>0</v>
      </c>
      <c r="E885" s="789">
        <f>IF(D885&gt;$J$881,$J$881,D885)</f>
        <v>0</v>
      </c>
      <c r="F885" s="789">
        <f t="shared" si="77"/>
        <v>0</v>
      </c>
      <c r="G885" s="736">
        <f t="shared" ref="G885:G943" si="82">+(D885+F885)/2</f>
        <v>0</v>
      </c>
      <c r="H885" s="794">
        <f>+J879*G885+E885</f>
        <v>0</v>
      </c>
      <c r="I885" s="795">
        <f>+J880*G885+E885</f>
        <v>0</v>
      </c>
      <c r="J885" s="792">
        <f>+I885-H885</f>
        <v>0</v>
      </c>
      <c r="K885" s="792"/>
      <c r="L885" s="812">
        <v>1736229</v>
      </c>
      <c r="M885" s="792">
        <f t="shared" si="78"/>
        <v>-1736229</v>
      </c>
      <c r="N885" s="812">
        <v>1736229</v>
      </c>
      <c r="O885" s="792">
        <f t="shared" si="79"/>
        <v>-1736229</v>
      </c>
      <c r="P885" s="792">
        <f t="shared" si="80"/>
        <v>0</v>
      </c>
    </row>
    <row r="886" spans="2:16">
      <c r="C886" s="788">
        <f>IF(D878="","-",+C885+1)</f>
        <v>2016</v>
      </c>
      <c r="D886" s="736">
        <f t="shared" si="81"/>
        <v>0</v>
      </c>
      <c r="E886" s="789">
        <f t="shared" ref="E886:E943" si="83">IF(D886&gt;$J$881,$J$881,D886)</f>
        <v>0</v>
      </c>
      <c r="F886" s="789">
        <f t="shared" si="77"/>
        <v>0</v>
      </c>
      <c r="G886" s="736">
        <f t="shared" si="82"/>
        <v>0</v>
      </c>
      <c r="H886" s="794">
        <f>+J879*G886+E886</f>
        <v>0</v>
      </c>
      <c r="I886" s="795">
        <f>+J880*G886+E886</f>
        <v>0</v>
      </c>
      <c r="J886" s="792">
        <f t="shared" ref="J886:J943" si="84">+I886-H886</f>
        <v>0</v>
      </c>
      <c r="K886" s="792"/>
      <c r="L886" s="812">
        <v>1915973</v>
      </c>
      <c r="M886" s="792">
        <f t="shared" si="78"/>
        <v>-1915973</v>
      </c>
      <c r="N886" s="812">
        <v>1915973</v>
      </c>
      <c r="O886" s="792">
        <f t="shared" si="79"/>
        <v>-1915973</v>
      </c>
      <c r="P886" s="792">
        <f t="shared" si="80"/>
        <v>0</v>
      </c>
    </row>
    <row r="887" spans="2:16">
      <c r="C887" s="788">
        <f>IF(D878="","-",+C886+1)</f>
        <v>2017</v>
      </c>
      <c r="D887" s="1321">
        <f t="shared" si="81"/>
        <v>0</v>
      </c>
      <c r="E887" s="789">
        <f t="shared" si="83"/>
        <v>0</v>
      </c>
      <c r="F887" s="789">
        <f t="shared" si="77"/>
        <v>0</v>
      </c>
      <c r="G887" s="736">
        <f t="shared" si="82"/>
        <v>0</v>
      </c>
      <c r="H887" s="794">
        <f>+J879*G887+E887</f>
        <v>0</v>
      </c>
      <c r="I887" s="795">
        <f>+J880*G887+E887</f>
        <v>0</v>
      </c>
      <c r="J887" s="792">
        <f t="shared" si="84"/>
        <v>0</v>
      </c>
      <c r="K887" s="792"/>
      <c r="L887" s="812">
        <v>2299209</v>
      </c>
      <c r="M887" s="792">
        <f t="shared" si="78"/>
        <v>-2299209</v>
      </c>
      <c r="N887" s="812">
        <v>2299209</v>
      </c>
      <c r="O887" s="792">
        <f t="shared" si="79"/>
        <v>-2299209</v>
      </c>
      <c r="P887" s="792">
        <f t="shared" si="80"/>
        <v>0</v>
      </c>
    </row>
    <row r="888" spans="2:16">
      <c r="C888" s="788">
        <f>IF(D878="","-",+C887+1)</f>
        <v>2018</v>
      </c>
      <c r="D888" s="1320">
        <f t="shared" si="81"/>
        <v>0</v>
      </c>
      <c r="E888" s="789">
        <f t="shared" si="83"/>
        <v>0</v>
      </c>
      <c r="F888" s="789">
        <f t="shared" si="77"/>
        <v>0</v>
      </c>
      <c r="G888" s="736">
        <f t="shared" si="82"/>
        <v>0</v>
      </c>
      <c r="H888" s="794">
        <f>+J879*G888+E888</f>
        <v>0</v>
      </c>
      <c r="I888" s="795">
        <f>+J880*G888+E888</f>
        <v>0</v>
      </c>
      <c r="J888" s="792">
        <f t="shared" si="84"/>
        <v>0</v>
      </c>
      <c r="K888" s="792"/>
      <c r="L888" s="812">
        <v>2044134</v>
      </c>
      <c r="M888" s="792">
        <f t="shared" si="78"/>
        <v>-2044134</v>
      </c>
      <c r="N888" s="812">
        <v>2044134</v>
      </c>
      <c r="O888" s="792">
        <f t="shared" si="79"/>
        <v>-2044134</v>
      </c>
      <c r="P888" s="792">
        <f t="shared" si="80"/>
        <v>0</v>
      </c>
    </row>
    <row r="889" spans="2:16">
      <c r="C889" s="788">
        <f>IF(D878="","-",+C888+1)</f>
        <v>2019</v>
      </c>
      <c r="D889" s="1321">
        <f t="shared" si="81"/>
        <v>0</v>
      </c>
      <c r="E889" s="789">
        <f t="shared" si="83"/>
        <v>0</v>
      </c>
      <c r="F889" s="789">
        <f t="shared" si="77"/>
        <v>0</v>
      </c>
      <c r="G889" s="736">
        <f t="shared" si="82"/>
        <v>0</v>
      </c>
      <c r="H889" s="794">
        <f>+J879*G889+E889</f>
        <v>0</v>
      </c>
      <c r="I889" s="795">
        <f>+J880*G889+E889</f>
        <v>0</v>
      </c>
      <c r="J889" s="792">
        <f t="shared" si="84"/>
        <v>0</v>
      </c>
      <c r="K889" s="792"/>
      <c r="L889" s="812">
        <v>0</v>
      </c>
      <c r="M889" s="792">
        <f t="shared" si="78"/>
        <v>0</v>
      </c>
      <c r="N889" s="812">
        <v>0</v>
      </c>
      <c r="O889" s="792">
        <f t="shared" si="79"/>
        <v>0</v>
      </c>
      <c r="P889" s="792">
        <f t="shared" si="80"/>
        <v>0</v>
      </c>
    </row>
    <row r="890" spans="2:16">
      <c r="C890" s="788">
        <f>IF(D878="","-",+C889+1)</f>
        <v>2020</v>
      </c>
      <c r="D890" s="1321">
        <f t="shared" si="81"/>
        <v>0</v>
      </c>
      <c r="E890" s="789">
        <f t="shared" si="83"/>
        <v>0</v>
      </c>
      <c r="F890" s="789">
        <f t="shared" si="77"/>
        <v>0</v>
      </c>
      <c r="G890" s="736">
        <f t="shared" si="82"/>
        <v>0</v>
      </c>
      <c r="H890" s="794">
        <f>+J879*G890+E890</f>
        <v>0</v>
      </c>
      <c r="I890" s="795">
        <f>+J880*G890+E890</f>
        <v>0</v>
      </c>
      <c r="J890" s="792">
        <f t="shared" si="84"/>
        <v>0</v>
      </c>
      <c r="K890" s="792"/>
      <c r="L890" s="812">
        <v>0</v>
      </c>
      <c r="M890" s="792">
        <f t="shared" si="78"/>
        <v>0</v>
      </c>
      <c r="N890" s="812">
        <v>0</v>
      </c>
      <c r="O890" s="792">
        <f t="shared" si="79"/>
        <v>0</v>
      </c>
      <c r="P890" s="792">
        <f t="shared" si="80"/>
        <v>0</v>
      </c>
    </row>
    <row r="891" spans="2:16">
      <c r="C891" s="788">
        <f>IF(D878="","-",+C890+1)</f>
        <v>2021</v>
      </c>
      <c r="D891" s="1321">
        <f t="shared" si="81"/>
        <v>0</v>
      </c>
      <c r="E891" s="789">
        <f t="shared" si="83"/>
        <v>0</v>
      </c>
      <c r="F891" s="789">
        <f t="shared" si="77"/>
        <v>0</v>
      </c>
      <c r="G891" s="736">
        <f t="shared" si="82"/>
        <v>0</v>
      </c>
      <c r="H891" s="794">
        <f>+J879*G891+E891</f>
        <v>0</v>
      </c>
      <c r="I891" s="795">
        <f>+J880*G891+E891</f>
        <v>0</v>
      </c>
      <c r="J891" s="792">
        <f t="shared" si="84"/>
        <v>0</v>
      </c>
      <c r="K891" s="792"/>
      <c r="L891" s="812">
        <v>0</v>
      </c>
      <c r="M891" s="792">
        <f t="shared" si="78"/>
        <v>0</v>
      </c>
      <c r="N891" s="812">
        <v>0</v>
      </c>
      <c r="O891" s="792">
        <f t="shared" si="79"/>
        <v>0</v>
      </c>
      <c r="P891" s="792">
        <f t="shared" si="80"/>
        <v>0</v>
      </c>
    </row>
    <row r="892" spans="2:16">
      <c r="C892" s="788">
        <f>IF(D878="","-",+C891+1)</f>
        <v>2022</v>
      </c>
      <c r="D892" s="736">
        <f t="shared" si="81"/>
        <v>0</v>
      </c>
      <c r="E892" s="789">
        <f t="shared" si="83"/>
        <v>0</v>
      </c>
      <c r="F892" s="789">
        <f t="shared" si="77"/>
        <v>0</v>
      </c>
      <c r="G892" s="736">
        <f t="shared" si="82"/>
        <v>0</v>
      </c>
      <c r="H892" s="794">
        <f>+J879*G892+E892</f>
        <v>0</v>
      </c>
      <c r="I892" s="795">
        <f>+J880*G892+E892</f>
        <v>0</v>
      </c>
      <c r="J892" s="792">
        <f t="shared" si="84"/>
        <v>0</v>
      </c>
      <c r="K892" s="792"/>
      <c r="L892" s="812"/>
      <c r="M892" s="792">
        <f t="shared" si="78"/>
        <v>0</v>
      </c>
      <c r="N892" s="812"/>
      <c r="O892" s="792">
        <f t="shared" si="79"/>
        <v>0</v>
      </c>
      <c r="P892" s="792">
        <f t="shared" si="80"/>
        <v>0</v>
      </c>
    </row>
    <row r="893" spans="2:16">
      <c r="C893" s="788">
        <f>IF(D878="","-",+C892+1)</f>
        <v>2023</v>
      </c>
      <c r="D893" s="736">
        <f t="shared" si="81"/>
        <v>0</v>
      </c>
      <c r="E893" s="789">
        <f t="shared" si="83"/>
        <v>0</v>
      </c>
      <c r="F893" s="789">
        <f t="shared" si="77"/>
        <v>0</v>
      </c>
      <c r="G893" s="736">
        <f t="shared" si="82"/>
        <v>0</v>
      </c>
      <c r="H893" s="794">
        <f>+J879*G893+E893</f>
        <v>0</v>
      </c>
      <c r="I893" s="795">
        <f>+J880*G893+E893</f>
        <v>0</v>
      </c>
      <c r="J893" s="792">
        <f t="shared" si="84"/>
        <v>0</v>
      </c>
      <c r="K893" s="792"/>
      <c r="L893" s="812"/>
      <c r="M893" s="792">
        <f t="shared" si="78"/>
        <v>0</v>
      </c>
      <c r="N893" s="812"/>
      <c r="O893" s="792">
        <f t="shared" si="79"/>
        <v>0</v>
      </c>
      <c r="P893" s="792">
        <f t="shared" si="80"/>
        <v>0</v>
      </c>
    </row>
    <row r="894" spans="2:16">
      <c r="C894" s="788">
        <f>IF(D878="","-",+C893+1)</f>
        <v>2024</v>
      </c>
      <c r="D894" s="736">
        <f t="shared" si="81"/>
        <v>0</v>
      </c>
      <c r="E894" s="789">
        <f t="shared" si="83"/>
        <v>0</v>
      </c>
      <c r="F894" s="789">
        <f t="shared" si="77"/>
        <v>0</v>
      </c>
      <c r="G894" s="736">
        <f t="shared" si="82"/>
        <v>0</v>
      </c>
      <c r="H894" s="794">
        <f>+J879*G894+E894</f>
        <v>0</v>
      </c>
      <c r="I894" s="795">
        <f>+J880*G894+E894</f>
        <v>0</v>
      </c>
      <c r="J894" s="792">
        <f t="shared" si="84"/>
        <v>0</v>
      </c>
      <c r="K894" s="792"/>
      <c r="L894" s="812"/>
      <c r="M894" s="792">
        <f t="shared" si="78"/>
        <v>0</v>
      </c>
      <c r="N894" s="812"/>
      <c r="O894" s="792">
        <f t="shared" si="79"/>
        <v>0</v>
      </c>
      <c r="P894" s="792">
        <f t="shared" si="80"/>
        <v>0</v>
      </c>
    </row>
    <row r="895" spans="2:16">
      <c r="C895" s="788">
        <f>IF(D878="","-",+C894+1)</f>
        <v>2025</v>
      </c>
      <c r="D895" s="736">
        <f t="shared" si="81"/>
        <v>0</v>
      </c>
      <c r="E895" s="789">
        <f t="shared" si="83"/>
        <v>0</v>
      </c>
      <c r="F895" s="789">
        <f t="shared" si="77"/>
        <v>0</v>
      </c>
      <c r="G895" s="736">
        <f t="shared" si="82"/>
        <v>0</v>
      </c>
      <c r="H895" s="794">
        <f>+J879*G895+E895</f>
        <v>0</v>
      </c>
      <c r="I895" s="795">
        <f>+J880*G895+E895</f>
        <v>0</v>
      </c>
      <c r="J895" s="792">
        <f t="shared" si="84"/>
        <v>0</v>
      </c>
      <c r="K895" s="792"/>
      <c r="L895" s="812"/>
      <c r="M895" s="792">
        <f t="shared" si="78"/>
        <v>0</v>
      </c>
      <c r="N895" s="812"/>
      <c r="O895" s="792">
        <f t="shared" si="79"/>
        <v>0</v>
      </c>
      <c r="P895" s="792">
        <f t="shared" si="80"/>
        <v>0</v>
      </c>
    </row>
    <row r="896" spans="2:16">
      <c r="C896" s="788">
        <f>IF(D878="","-",+C895+1)</f>
        <v>2026</v>
      </c>
      <c r="D896" s="736">
        <f t="shared" si="81"/>
        <v>0</v>
      </c>
      <c r="E896" s="789">
        <f t="shared" si="83"/>
        <v>0</v>
      </c>
      <c r="F896" s="789">
        <f t="shared" si="77"/>
        <v>0</v>
      </c>
      <c r="G896" s="736">
        <f t="shared" si="82"/>
        <v>0</v>
      </c>
      <c r="H896" s="794">
        <f>+J879*G896+E896</f>
        <v>0</v>
      </c>
      <c r="I896" s="795">
        <f>+J880*G896+E896</f>
        <v>0</v>
      </c>
      <c r="J896" s="792">
        <f t="shared" si="84"/>
        <v>0</v>
      </c>
      <c r="K896" s="792"/>
      <c r="L896" s="812"/>
      <c r="M896" s="792">
        <f t="shared" si="78"/>
        <v>0</v>
      </c>
      <c r="N896" s="812"/>
      <c r="O896" s="792">
        <f t="shared" si="79"/>
        <v>0</v>
      </c>
      <c r="P896" s="792">
        <f t="shared" si="80"/>
        <v>0</v>
      </c>
    </row>
    <row r="897" spans="3:16">
      <c r="C897" s="788">
        <f>IF(D878="","-",+C896+1)</f>
        <v>2027</v>
      </c>
      <c r="D897" s="736">
        <f t="shared" si="81"/>
        <v>0</v>
      </c>
      <c r="E897" s="789">
        <f t="shared" si="83"/>
        <v>0</v>
      </c>
      <c r="F897" s="789">
        <f t="shared" si="77"/>
        <v>0</v>
      </c>
      <c r="G897" s="736">
        <f t="shared" si="82"/>
        <v>0</v>
      </c>
      <c r="H897" s="794">
        <f>+J879*G897+E897</f>
        <v>0</v>
      </c>
      <c r="I897" s="795">
        <f>+J880*G897+E897</f>
        <v>0</v>
      </c>
      <c r="J897" s="792">
        <f t="shared" si="84"/>
        <v>0</v>
      </c>
      <c r="K897" s="792"/>
      <c r="L897" s="812"/>
      <c r="M897" s="792">
        <f t="shared" si="78"/>
        <v>0</v>
      </c>
      <c r="N897" s="812"/>
      <c r="O897" s="792">
        <f t="shared" si="79"/>
        <v>0</v>
      </c>
      <c r="P897" s="792">
        <f t="shared" si="80"/>
        <v>0</v>
      </c>
    </row>
    <row r="898" spans="3:16">
      <c r="C898" s="788">
        <f>IF(D878="","-",+C897+1)</f>
        <v>2028</v>
      </c>
      <c r="D898" s="736">
        <f t="shared" si="81"/>
        <v>0</v>
      </c>
      <c r="E898" s="789">
        <f t="shared" si="83"/>
        <v>0</v>
      </c>
      <c r="F898" s="789">
        <f t="shared" si="77"/>
        <v>0</v>
      </c>
      <c r="G898" s="736">
        <f t="shared" si="82"/>
        <v>0</v>
      </c>
      <c r="H898" s="794">
        <f>+J879*G898+E898</f>
        <v>0</v>
      </c>
      <c r="I898" s="795">
        <f>+J880*G898+E898</f>
        <v>0</v>
      </c>
      <c r="J898" s="792">
        <f t="shared" si="84"/>
        <v>0</v>
      </c>
      <c r="K898" s="792"/>
      <c r="L898" s="812"/>
      <c r="M898" s="792">
        <f t="shared" si="78"/>
        <v>0</v>
      </c>
      <c r="N898" s="812"/>
      <c r="O898" s="792">
        <f t="shared" si="79"/>
        <v>0</v>
      </c>
      <c r="P898" s="792">
        <f t="shared" si="80"/>
        <v>0</v>
      </c>
    </row>
    <row r="899" spans="3:16">
      <c r="C899" s="788">
        <f>IF(D878="","-",+C898+1)</f>
        <v>2029</v>
      </c>
      <c r="D899" s="736">
        <f t="shared" si="81"/>
        <v>0</v>
      </c>
      <c r="E899" s="789">
        <f t="shared" si="83"/>
        <v>0</v>
      </c>
      <c r="F899" s="789">
        <f t="shared" si="77"/>
        <v>0</v>
      </c>
      <c r="G899" s="736">
        <f t="shared" si="82"/>
        <v>0</v>
      </c>
      <c r="H899" s="794">
        <f>+J879*G899+E899</f>
        <v>0</v>
      </c>
      <c r="I899" s="795">
        <f>+J880*G899+E899</f>
        <v>0</v>
      </c>
      <c r="J899" s="792">
        <f t="shared" si="84"/>
        <v>0</v>
      </c>
      <c r="K899" s="792"/>
      <c r="L899" s="812"/>
      <c r="M899" s="792">
        <f t="shared" si="78"/>
        <v>0</v>
      </c>
      <c r="N899" s="812"/>
      <c r="O899" s="792">
        <f t="shared" si="79"/>
        <v>0</v>
      </c>
      <c r="P899" s="792">
        <f t="shared" si="80"/>
        <v>0</v>
      </c>
    </row>
    <row r="900" spans="3:16">
      <c r="C900" s="788">
        <f>IF(D878="","-",+C899+1)</f>
        <v>2030</v>
      </c>
      <c r="D900" s="736">
        <f t="shared" si="81"/>
        <v>0</v>
      </c>
      <c r="E900" s="789">
        <f t="shared" si="83"/>
        <v>0</v>
      </c>
      <c r="F900" s="789">
        <f t="shared" si="77"/>
        <v>0</v>
      </c>
      <c r="G900" s="736">
        <f t="shared" si="82"/>
        <v>0</v>
      </c>
      <c r="H900" s="794">
        <f>+J879*G900+E900</f>
        <v>0</v>
      </c>
      <c r="I900" s="795">
        <f>+J880*G900+E900</f>
        <v>0</v>
      </c>
      <c r="J900" s="792">
        <f t="shared" si="84"/>
        <v>0</v>
      </c>
      <c r="K900" s="792"/>
      <c r="L900" s="812"/>
      <c r="M900" s="792">
        <f t="shared" si="78"/>
        <v>0</v>
      </c>
      <c r="N900" s="812"/>
      <c r="O900" s="792">
        <f t="shared" si="79"/>
        <v>0</v>
      </c>
      <c r="P900" s="792">
        <f t="shared" si="80"/>
        <v>0</v>
      </c>
    </row>
    <row r="901" spans="3:16">
      <c r="C901" s="788">
        <f>IF(D878="","-",+C900+1)</f>
        <v>2031</v>
      </c>
      <c r="D901" s="736">
        <f t="shared" si="81"/>
        <v>0</v>
      </c>
      <c r="E901" s="789">
        <f t="shared" si="83"/>
        <v>0</v>
      </c>
      <c r="F901" s="789">
        <f t="shared" si="77"/>
        <v>0</v>
      </c>
      <c r="G901" s="736">
        <f t="shared" si="82"/>
        <v>0</v>
      </c>
      <c r="H901" s="794">
        <f>+J879*G901+E901</f>
        <v>0</v>
      </c>
      <c r="I901" s="795">
        <f>+J880*G901+E901</f>
        <v>0</v>
      </c>
      <c r="J901" s="792">
        <f t="shared" si="84"/>
        <v>0</v>
      </c>
      <c r="K901" s="792"/>
      <c r="L901" s="812"/>
      <c r="M901" s="792">
        <f t="shared" si="78"/>
        <v>0</v>
      </c>
      <c r="N901" s="812"/>
      <c r="O901" s="792">
        <f t="shared" si="79"/>
        <v>0</v>
      </c>
      <c r="P901" s="792">
        <f t="shared" si="80"/>
        <v>0</v>
      </c>
    </row>
    <row r="902" spans="3:16">
      <c r="C902" s="788">
        <f>IF(D878="","-",+C901+1)</f>
        <v>2032</v>
      </c>
      <c r="D902" s="736">
        <f t="shared" si="81"/>
        <v>0</v>
      </c>
      <c r="E902" s="789">
        <f t="shared" si="83"/>
        <v>0</v>
      </c>
      <c r="F902" s="789">
        <f t="shared" si="77"/>
        <v>0</v>
      </c>
      <c r="G902" s="736">
        <f t="shared" si="82"/>
        <v>0</v>
      </c>
      <c r="H902" s="794">
        <f>+J879*G902+E902</f>
        <v>0</v>
      </c>
      <c r="I902" s="795">
        <f>+J880*G902+E902</f>
        <v>0</v>
      </c>
      <c r="J902" s="792">
        <f t="shared" si="84"/>
        <v>0</v>
      </c>
      <c r="K902" s="792"/>
      <c r="L902" s="812"/>
      <c r="M902" s="792">
        <f t="shared" si="78"/>
        <v>0</v>
      </c>
      <c r="N902" s="812"/>
      <c r="O902" s="792">
        <f t="shared" si="79"/>
        <v>0</v>
      </c>
      <c r="P902" s="792">
        <f t="shared" si="80"/>
        <v>0</v>
      </c>
    </row>
    <row r="903" spans="3:16">
      <c r="C903" s="788">
        <f>IF(D878="","-",+C902+1)</f>
        <v>2033</v>
      </c>
      <c r="D903" s="736">
        <f t="shared" si="81"/>
        <v>0</v>
      </c>
      <c r="E903" s="789">
        <f t="shared" si="83"/>
        <v>0</v>
      </c>
      <c r="F903" s="789">
        <f t="shared" si="77"/>
        <v>0</v>
      </c>
      <c r="G903" s="736">
        <f t="shared" si="82"/>
        <v>0</v>
      </c>
      <c r="H903" s="794">
        <f>+J879*G903+E903</f>
        <v>0</v>
      </c>
      <c r="I903" s="795">
        <f>+J880*G903+E903</f>
        <v>0</v>
      </c>
      <c r="J903" s="792">
        <f t="shared" si="84"/>
        <v>0</v>
      </c>
      <c r="K903" s="792"/>
      <c r="L903" s="812"/>
      <c r="M903" s="792">
        <f t="shared" si="78"/>
        <v>0</v>
      </c>
      <c r="N903" s="812"/>
      <c r="O903" s="792">
        <f t="shared" si="79"/>
        <v>0</v>
      </c>
      <c r="P903" s="792">
        <f t="shared" si="80"/>
        <v>0</v>
      </c>
    </row>
    <row r="904" spans="3:16">
      <c r="C904" s="788">
        <f>IF(D878="","-",+C903+1)</f>
        <v>2034</v>
      </c>
      <c r="D904" s="736">
        <f t="shared" si="81"/>
        <v>0</v>
      </c>
      <c r="E904" s="789">
        <f t="shared" si="83"/>
        <v>0</v>
      </c>
      <c r="F904" s="789">
        <f t="shared" si="77"/>
        <v>0</v>
      </c>
      <c r="G904" s="736">
        <f t="shared" si="82"/>
        <v>0</v>
      </c>
      <c r="H904" s="794">
        <f>+J879*G904+E904</f>
        <v>0</v>
      </c>
      <c r="I904" s="795">
        <f>+J880*G904+E904</f>
        <v>0</v>
      </c>
      <c r="J904" s="792">
        <f t="shared" si="84"/>
        <v>0</v>
      </c>
      <c r="K904" s="792"/>
      <c r="L904" s="812"/>
      <c r="M904" s="792">
        <f t="shared" si="78"/>
        <v>0</v>
      </c>
      <c r="N904" s="812"/>
      <c r="O904" s="792">
        <f t="shared" si="79"/>
        <v>0</v>
      </c>
      <c r="P904" s="792">
        <f t="shared" si="80"/>
        <v>0</v>
      </c>
    </row>
    <row r="905" spans="3:16">
      <c r="C905" s="788">
        <f>IF(D878="","-",+C904+1)</f>
        <v>2035</v>
      </c>
      <c r="D905" s="736">
        <f t="shared" si="81"/>
        <v>0</v>
      </c>
      <c r="E905" s="789">
        <f t="shared" si="83"/>
        <v>0</v>
      </c>
      <c r="F905" s="789">
        <f t="shared" si="77"/>
        <v>0</v>
      </c>
      <c r="G905" s="736">
        <f t="shared" si="82"/>
        <v>0</v>
      </c>
      <c r="H905" s="794">
        <f>+J879*G905+E905</f>
        <v>0</v>
      </c>
      <c r="I905" s="795">
        <f>+J880*G905+E905</f>
        <v>0</v>
      </c>
      <c r="J905" s="792">
        <f t="shared" si="84"/>
        <v>0</v>
      </c>
      <c r="K905" s="792"/>
      <c r="L905" s="812"/>
      <c r="M905" s="792">
        <f t="shared" si="78"/>
        <v>0</v>
      </c>
      <c r="N905" s="812"/>
      <c r="O905" s="792">
        <f t="shared" si="79"/>
        <v>0</v>
      </c>
      <c r="P905" s="792">
        <f t="shared" si="80"/>
        <v>0</v>
      </c>
    </row>
    <row r="906" spans="3:16">
      <c r="C906" s="788">
        <f>IF(D878="","-",+C905+1)</f>
        <v>2036</v>
      </c>
      <c r="D906" s="736">
        <f t="shared" si="81"/>
        <v>0</v>
      </c>
      <c r="E906" s="789">
        <f t="shared" si="83"/>
        <v>0</v>
      </c>
      <c r="F906" s="789">
        <f t="shared" si="77"/>
        <v>0</v>
      </c>
      <c r="G906" s="736">
        <f t="shared" si="82"/>
        <v>0</v>
      </c>
      <c r="H906" s="794">
        <f>+J879*G906+E906</f>
        <v>0</v>
      </c>
      <c r="I906" s="795">
        <f>+J880*G906+E906</f>
        <v>0</v>
      </c>
      <c r="J906" s="792">
        <f t="shared" si="84"/>
        <v>0</v>
      </c>
      <c r="K906" s="792"/>
      <c r="L906" s="812"/>
      <c r="M906" s="792">
        <f t="shared" si="78"/>
        <v>0</v>
      </c>
      <c r="N906" s="812"/>
      <c r="O906" s="792">
        <f t="shared" si="79"/>
        <v>0</v>
      </c>
      <c r="P906" s="792">
        <f t="shared" si="80"/>
        <v>0</v>
      </c>
    </row>
    <row r="907" spans="3:16">
      <c r="C907" s="788">
        <f>IF(D878="","-",+C906+1)</f>
        <v>2037</v>
      </c>
      <c r="D907" s="736">
        <f t="shared" si="81"/>
        <v>0</v>
      </c>
      <c r="E907" s="789">
        <f t="shared" si="83"/>
        <v>0</v>
      </c>
      <c r="F907" s="789">
        <f t="shared" si="77"/>
        <v>0</v>
      </c>
      <c r="G907" s="736">
        <f t="shared" si="82"/>
        <v>0</v>
      </c>
      <c r="H907" s="794">
        <f>+J879*G907+E907</f>
        <v>0</v>
      </c>
      <c r="I907" s="795">
        <f>+J880*G907+E907</f>
        <v>0</v>
      </c>
      <c r="J907" s="792">
        <f t="shared" si="84"/>
        <v>0</v>
      </c>
      <c r="K907" s="792"/>
      <c r="L907" s="812"/>
      <c r="M907" s="792">
        <f t="shared" si="78"/>
        <v>0</v>
      </c>
      <c r="N907" s="812"/>
      <c r="O907" s="792">
        <f t="shared" si="79"/>
        <v>0</v>
      </c>
      <c r="P907" s="792">
        <f t="shared" si="80"/>
        <v>0</v>
      </c>
    </row>
    <row r="908" spans="3:16">
      <c r="C908" s="788">
        <f>IF(D878="","-",+C907+1)</f>
        <v>2038</v>
      </c>
      <c r="D908" s="736">
        <f t="shared" si="81"/>
        <v>0</v>
      </c>
      <c r="E908" s="789">
        <f t="shared" si="83"/>
        <v>0</v>
      </c>
      <c r="F908" s="789">
        <f t="shared" si="77"/>
        <v>0</v>
      </c>
      <c r="G908" s="736">
        <f t="shared" si="82"/>
        <v>0</v>
      </c>
      <c r="H908" s="794">
        <f>+J879*G908+E908</f>
        <v>0</v>
      </c>
      <c r="I908" s="795">
        <f>+J880*G908+E908</f>
        <v>0</v>
      </c>
      <c r="J908" s="792">
        <f t="shared" si="84"/>
        <v>0</v>
      </c>
      <c r="K908" s="792"/>
      <c r="L908" s="812"/>
      <c r="M908" s="792">
        <f t="shared" si="78"/>
        <v>0</v>
      </c>
      <c r="N908" s="812"/>
      <c r="O908" s="792">
        <f t="shared" si="79"/>
        <v>0</v>
      </c>
      <c r="P908" s="792">
        <f t="shared" si="80"/>
        <v>0</v>
      </c>
    </row>
    <row r="909" spans="3:16">
      <c r="C909" s="788">
        <f>IF(D878="","-",+C908+1)</f>
        <v>2039</v>
      </c>
      <c r="D909" s="736">
        <f t="shared" si="81"/>
        <v>0</v>
      </c>
      <c r="E909" s="789">
        <f t="shared" si="83"/>
        <v>0</v>
      </c>
      <c r="F909" s="789">
        <f t="shared" si="77"/>
        <v>0</v>
      </c>
      <c r="G909" s="736">
        <f t="shared" si="82"/>
        <v>0</v>
      </c>
      <c r="H909" s="794">
        <f>+J879*G909+E909</f>
        <v>0</v>
      </c>
      <c r="I909" s="795">
        <f>+J880*G909+E909</f>
        <v>0</v>
      </c>
      <c r="J909" s="792">
        <f t="shared" si="84"/>
        <v>0</v>
      </c>
      <c r="K909" s="792"/>
      <c r="L909" s="812"/>
      <c r="M909" s="792">
        <f t="shared" si="78"/>
        <v>0</v>
      </c>
      <c r="N909" s="812"/>
      <c r="O909" s="792">
        <f t="shared" si="79"/>
        <v>0</v>
      </c>
      <c r="P909" s="792">
        <f t="shared" si="80"/>
        <v>0</v>
      </c>
    </row>
    <row r="910" spans="3:16">
      <c r="C910" s="788">
        <f>IF(D878="","-",+C909+1)</f>
        <v>2040</v>
      </c>
      <c r="D910" s="736">
        <f t="shared" si="81"/>
        <v>0</v>
      </c>
      <c r="E910" s="789">
        <f t="shared" si="83"/>
        <v>0</v>
      </c>
      <c r="F910" s="789">
        <f t="shared" si="77"/>
        <v>0</v>
      </c>
      <c r="G910" s="736">
        <f t="shared" si="82"/>
        <v>0</v>
      </c>
      <c r="H910" s="794">
        <f>+J879*G910+E910</f>
        <v>0</v>
      </c>
      <c r="I910" s="795">
        <f>+J880*G910+E910</f>
        <v>0</v>
      </c>
      <c r="J910" s="792">
        <f t="shared" si="84"/>
        <v>0</v>
      </c>
      <c r="K910" s="792"/>
      <c r="L910" s="812"/>
      <c r="M910" s="792">
        <f t="shared" si="78"/>
        <v>0</v>
      </c>
      <c r="N910" s="812"/>
      <c r="O910" s="792">
        <f t="shared" si="79"/>
        <v>0</v>
      </c>
      <c r="P910" s="792">
        <f t="shared" si="80"/>
        <v>0</v>
      </c>
    </row>
    <row r="911" spans="3:16">
      <c r="C911" s="788">
        <f>IF(D878="","-",+C910+1)</f>
        <v>2041</v>
      </c>
      <c r="D911" s="736">
        <f t="shared" si="81"/>
        <v>0</v>
      </c>
      <c r="E911" s="789">
        <f t="shared" si="83"/>
        <v>0</v>
      </c>
      <c r="F911" s="789">
        <f t="shared" si="77"/>
        <v>0</v>
      </c>
      <c r="G911" s="736">
        <f t="shared" si="82"/>
        <v>0</v>
      </c>
      <c r="H911" s="794">
        <f>+J879*G911+E911</f>
        <v>0</v>
      </c>
      <c r="I911" s="795">
        <f>+J880*G911+E911</f>
        <v>0</v>
      </c>
      <c r="J911" s="792">
        <f t="shared" si="84"/>
        <v>0</v>
      </c>
      <c r="K911" s="792"/>
      <c r="L911" s="812"/>
      <c r="M911" s="792">
        <f t="shared" si="78"/>
        <v>0</v>
      </c>
      <c r="N911" s="812"/>
      <c r="O911" s="792">
        <f t="shared" si="79"/>
        <v>0</v>
      </c>
      <c r="P911" s="792">
        <f t="shared" si="80"/>
        <v>0</v>
      </c>
    </row>
    <row r="912" spans="3:16">
      <c r="C912" s="788">
        <f>IF(D878="","-",+C911+1)</f>
        <v>2042</v>
      </c>
      <c r="D912" s="736">
        <f t="shared" si="81"/>
        <v>0</v>
      </c>
      <c r="E912" s="789">
        <f t="shared" si="83"/>
        <v>0</v>
      </c>
      <c r="F912" s="789">
        <f t="shared" si="77"/>
        <v>0</v>
      </c>
      <c r="G912" s="736">
        <f t="shared" si="82"/>
        <v>0</v>
      </c>
      <c r="H912" s="794">
        <f>+J879*G912+E912</f>
        <v>0</v>
      </c>
      <c r="I912" s="795">
        <f>+J880*G912+E912</f>
        <v>0</v>
      </c>
      <c r="J912" s="792">
        <f t="shared" si="84"/>
        <v>0</v>
      </c>
      <c r="K912" s="792"/>
      <c r="L912" s="812"/>
      <c r="M912" s="792">
        <f t="shared" si="78"/>
        <v>0</v>
      </c>
      <c r="N912" s="812"/>
      <c r="O912" s="792">
        <f t="shared" si="79"/>
        <v>0</v>
      </c>
      <c r="P912" s="792">
        <f t="shared" si="80"/>
        <v>0</v>
      </c>
    </row>
    <row r="913" spans="3:16">
      <c r="C913" s="788">
        <f>IF(D878="","-",+C912+1)</f>
        <v>2043</v>
      </c>
      <c r="D913" s="736">
        <f t="shared" si="81"/>
        <v>0</v>
      </c>
      <c r="E913" s="789">
        <f t="shared" si="83"/>
        <v>0</v>
      </c>
      <c r="F913" s="789">
        <f t="shared" si="77"/>
        <v>0</v>
      </c>
      <c r="G913" s="736">
        <f t="shared" si="82"/>
        <v>0</v>
      </c>
      <c r="H913" s="794">
        <f>+J879*G913+E913</f>
        <v>0</v>
      </c>
      <c r="I913" s="795">
        <f>+J880*G913+E913</f>
        <v>0</v>
      </c>
      <c r="J913" s="792">
        <f t="shared" si="84"/>
        <v>0</v>
      </c>
      <c r="K913" s="792"/>
      <c r="L913" s="812"/>
      <c r="M913" s="792">
        <f t="shared" si="78"/>
        <v>0</v>
      </c>
      <c r="N913" s="812"/>
      <c r="O913" s="792">
        <f t="shared" si="79"/>
        <v>0</v>
      </c>
      <c r="P913" s="792">
        <f t="shared" si="80"/>
        <v>0</v>
      </c>
    </row>
    <row r="914" spans="3:16">
      <c r="C914" s="788">
        <f>IF(D878="","-",+C913+1)</f>
        <v>2044</v>
      </c>
      <c r="D914" s="736">
        <f t="shared" si="81"/>
        <v>0</v>
      </c>
      <c r="E914" s="789">
        <f t="shared" si="83"/>
        <v>0</v>
      </c>
      <c r="F914" s="789">
        <f t="shared" si="77"/>
        <v>0</v>
      </c>
      <c r="G914" s="736">
        <f t="shared" si="82"/>
        <v>0</v>
      </c>
      <c r="H914" s="794">
        <f>+J879*G914+E914</f>
        <v>0</v>
      </c>
      <c r="I914" s="795">
        <f>+J880*G914+E914</f>
        <v>0</v>
      </c>
      <c r="J914" s="792">
        <f t="shared" si="84"/>
        <v>0</v>
      </c>
      <c r="K914" s="792"/>
      <c r="L914" s="812"/>
      <c r="M914" s="792">
        <f t="shared" si="78"/>
        <v>0</v>
      </c>
      <c r="N914" s="812"/>
      <c r="O914" s="792">
        <f t="shared" si="79"/>
        <v>0</v>
      </c>
      <c r="P914" s="792">
        <f t="shared" si="80"/>
        <v>0</v>
      </c>
    </row>
    <row r="915" spans="3:16">
      <c r="C915" s="788">
        <f>IF(D878="","-",+C914+1)</f>
        <v>2045</v>
      </c>
      <c r="D915" s="736">
        <f t="shared" si="81"/>
        <v>0</v>
      </c>
      <c r="E915" s="789">
        <f t="shared" si="83"/>
        <v>0</v>
      </c>
      <c r="F915" s="789">
        <f t="shared" si="77"/>
        <v>0</v>
      </c>
      <c r="G915" s="736">
        <f t="shared" si="82"/>
        <v>0</v>
      </c>
      <c r="H915" s="794">
        <f>+J879*G915+E915</f>
        <v>0</v>
      </c>
      <c r="I915" s="795">
        <f>+J880*G915+E915</f>
        <v>0</v>
      </c>
      <c r="J915" s="792">
        <f t="shared" si="84"/>
        <v>0</v>
      </c>
      <c r="K915" s="792"/>
      <c r="L915" s="812"/>
      <c r="M915" s="792">
        <f t="shared" si="78"/>
        <v>0</v>
      </c>
      <c r="N915" s="812"/>
      <c r="O915" s="792">
        <f t="shared" si="79"/>
        <v>0</v>
      </c>
      <c r="P915" s="792">
        <f t="shared" si="80"/>
        <v>0</v>
      </c>
    </row>
    <row r="916" spans="3:16">
      <c r="C916" s="788">
        <f>IF(D878="","-",+C915+1)</f>
        <v>2046</v>
      </c>
      <c r="D916" s="736">
        <f t="shared" si="81"/>
        <v>0</v>
      </c>
      <c r="E916" s="789">
        <f t="shared" si="83"/>
        <v>0</v>
      </c>
      <c r="F916" s="789">
        <f t="shared" si="77"/>
        <v>0</v>
      </c>
      <c r="G916" s="736">
        <f t="shared" si="82"/>
        <v>0</v>
      </c>
      <c r="H916" s="794">
        <f>+J879*G916+E916</f>
        <v>0</v>
      </c>
      <c r="I916" s="795">
        <f>+J880*G916+E916</f>
        <v>0</v>
      </c>
      <c r="J916" s="792">
        <f t="shared" si="84"/>
        <v>0</v>
      </c>
      <c r="K916" s="792"/>
      <c r="L916" s="812"/>
      <c r="M916" s="792">
        <f t="shared" si="78"/>
        <v>0</v>
      </c>
      <c r="N916" s="812"/>
      <c r="O916" s="792">
        <f t="shared" si="79"/>
        <v>0</v>
      </c>
      <c r="P916" s="792">
        <f t="shared" si="80"/>
        <v>0</v>
      </c>
    </row>
    <row r="917" spans="3:16">
      <c r="C917" s="788">
        <f>IF(D878="","-",+C916+1)</f>
        <v>2047</v>
      </c>
      <c r="D917" s="736">
        <f t="shared" si="81"/>
        <v>0</v>
      </c>
      <c r="E917" s="789">
        <f t="shared" si="83"/>
        <v>0</v>
      </c>
      <c r="F917" s="789">
        <f t="shared" si="77"/>
        <v>0</v>
      </c>
      <c r="G917" s="736">
        <f t="shared" si="82"/>
        <v>0</v>
      </c>
      <c r="H917" s="794">
        <f>+J879*G917+E917</f>
        <v>0</v>
      </c>
      <c r="I917" s="795">
        <f>+J880*G917+E917</f>
        <v>0</v>
      </c>
      <c r="J917" s="792">
        <f t="shared" si="84"/>
        <v>0</v>
      </c>
      <c r="K917" s="792"/>
      <c r="L917" s="812"/>
      <c r="M917" s="792">
        <f t="shared" si="78"/>
        <v>0</v>
      </c>
      <c r="N917" s="812"/>
      <c r="O917" s="792">
        <f t="shared" si="79"/>
        <v>0</v>
      </c>
      <c r="P917" s="792">
        <f t="shared" si="80"/>
        <v>0</v>
      </c>
    </row>
    <row r="918" spans="3:16">
      <c r="C918" s="788">
        <f>IF(D878="","-",+C917+1)</f>
        <v>2048</v>
      </c>
      <c r="D918" s="736">
        <f t="shared" si="81"/>
        <v>0</v>
      </c>
      <c r="E918" s="789">
        <f t="shared" si="83"/>
        <v>0</v>
      </c>
      <c r="F918" s="789">
        <f t="shared" si="77"/>
        <v>0</v>
      </c>
      <c r="G918" s="736">
        <f t="shared" si="82"/>
        <v>0</v>
      </c>
      <c r="H918" s="794">
        <f>+J879*G918+E918</f>
        <v>0</v>
      </c>
      <c r="I918" s="795">
        <f>+J880*G918+E918</f>
        <v>0</v>
      </c>
      <c r="J918" s="792">
        <f t="shared" si="84"/>
        <v>0</v>
      </c>
      <c r="K918" s="792"/>
      <c r="L918" s="812"/>
      <c r="M918" s="792">
        <f t="shared" si="78"/>
        <v>0</v>
      </c>
      <c r="N918" s="812"/>
      <c r="O918" s="792">
        <f t="shared" si="79"/>
        <v>0</v>
      </c>
      <c r="P918" s="792">
        <f t="shared" si="80"/>
        <v>0</v>
      </c>
    </row>
    <row r="919" spans="3:16">
      <c r="C919" s="788">
        <f>IF(D878="","-",+C918+1)</f>
        <v>2049</v>
      </c>
      <c r="D919" s="736">
        <f t="shared" si="81"/>
        <v>0</v>
      </c>
      <c r="E919" s="789">
        <f t="shared" si="83"/>
        <v>0</v>
      </c>
      <c r="F919" s="789">
        <f t="shared" si="77"/>
        <v>0</v>
      </c>
      <c r="G919" s="736">
        <f t="shared" si="82"/>
        <v>0</v>
      </c>
      <c r="H919" s="794">
        <f>+J879*G919+E919</f>
        <v>0</v>
      </c>
      <c r="I919" s="795">
        <f>+J880*G919+E919</f>
        <v>0</v>
      </c>
      <c r="J919" s="792">
        <f t="shared" si="84"/>
        <v>0</v>
      </c>
      <c r="K919" s="792"/>
      <c r="L919" s="812"/>
      <c r="M919" s="792">
        <f t="shared" si="78"/>
        <v>0</v>
      </c>
      <c r="N919" s="812"/>
      <c r="O919" s="792">
        <f t="shared" si="79"/>
        <v>0</v>
      </c>
      <c r="P919" s="792">
        <f t="shared" si="80"/>
        <v>0</v>
      </c>
    </row>
    <row r="920" spans="3:16">
      <c r="C920" s="788">
        <f>IF(D878="","-",+C919+1)</f>
        <v>2050</v>
      </c>
      <c r="D920" s="736">
        <f t="shared" si="81"/>
        <v>0</v>
      </c>
      <c r="E920" s="789">
        <f t="shared" si="83"/>
        <v>0</v>
      </c>
      <c r="F920" s="789">
        <f t="shared" si="77"/>
        <v>0</v>
      </c>
      <c r="G920" s="736">
        <f t="shared" si="82"/>
        <v>0</v>
      </c>
      <c r="H920" s="794">
        <f>+J879*G920+E920</f>
        <v>0</v>
      </c>
      <c r="I920" s="795">
        <f>+J880*G920+E920</f>
        <v>0</v>
      </c>
      <c r="J920" s="792">
        <f t="shared" si="84"/>
        <v>0</v>
      </c>
      <c r="K920" s="792"/>
      <c r="L920" s="812"/>
      <c r="M920" s="792">
        <f t="shared" si="78"/>
        <v>0</v>
      </c>
      <c r="N920" s="812"/>
      <c r="O920" s="792">
        <f t="shared" si="79"/>
        <v>0</v>
      </c>
      <c r="P920" s="792">
        <f t="shared" si="80"/>
        <v>0</v>
      </c>
    </row>
    <row r="921" spans="3:16">
      <c r="C921" s="788">
        <f>IF(D878="","-",+C920+1)</f>
        <v>2051</v>
      </c>
      <c r="D921" s="736">
        <f t="shared" si="81"/>
        <v>0</v>
      </c>
      <c r="E921" s="789">
        <f t="shared" si="83"/>
        <v>0</v>
      </c>
      <c r="F921" s="789">
        <f t="shared" si="77"/>
        <v>0</v>
      </c>
      <c r="G921" s="736">
        <f t="shared" si="82"/>
        <v>0</v>
      </c>
      <c r="H921" s="794">
        <f>+J879*G921+E921</f>
        <v>0</v>
      </c>
      <c r="I921" s="795">
        <f>+J880*G921+E921</f>
        <v>0</v>
      </c>
      <c r="J921" s="792">
        <f t="shared" si="84"/>
        <v>0</v>
      </c>
      <c r="K921" s="792"/>
      <c r="L921" s="812"/>
      <c r="M921" s="792">
        <f t="shared" si="78"/>
        <v>0</v>
      </c>
      <c r="N921" s="812"/>
      <c r="O921" s="792">
        <f t="shared" si="79"/>
        <v>0</v>
      </c>
      <c r="P921" s="792">
        <f t="shared" si="80"/>
        <v>0</v>
      </c>
    </row>
    <row r="922" spans="3:16">
      <c r="C922" s="788">
        <f>IF(D878="","-",+C921+1)</f>
        <v>2052</v>
      </c>
      <c r="D922" s="736">
        <f t="shared" si="81"/>
        <v>0</v>
      </c>
      <c r="E922" s="789">
        <f t="shared" si="83"/>
        <v>0</v>
      </c>
      <c r="F922" s="789">
        <f t="shared" si="77"/>
        <v>0</v>
      </c>
      <c r="G922" s="736">
        <f t="shared" si="82"/>
        <v>0</v>
      </c>
      <c r="H922" s="794">
        <f>+J879*G922+E922</f>
        <v>0</v>
      </c>
      <c r="I922" s="795">
        <f>+J880*G922+E922</f>
        <v>0</v>
      </c>
      <c r="J922" s="792">
        <f t="shared" si="84"/>
        <v>0</v>
      </c>
      <c r="K922" s="792"/>
      <c r="L922" s="812"/>
      <c r="M922" s="792">
        <f t="shared" si="78"/>
        <v>0</v>
      </c>
      <c r="N922" s="812"/>
      <c r="O922" s="792">
        <f t="shared" si="79"/>
        <v>0</v>
      </c>
      <c r="P922" s="792">
        <f t="shared" si="80"/>
        <v>0</v>
      </c>
    </row>
    <row r="923" spans="3:16">
      <c r="C923" s="788">
        <f>IF(D878="","-",+C922+1)</f>
        <v>2053</v>
      </c>
      <c r="D923" s="736">
        <f t="shared" si="81"/>
        <v>0</v>
      </c>
      <c r="E923" s="789">
        <f t="shared" si="83"/>
        <v>0</v>
      </c>
      <c r="F923" s="789">
        <f t="shared" si="77"/>
        <v>0</v>
      </c>
      <c r="G923" s="736">
        <f t="shared" si="82"/>
        <v>0</v>
      </c>
      <c r="H923" s="794">
        <f>+J879*G923+E923</f>
        <v>0</v>
      </c>
      <c r="I923" s="795">
        <f>+J880*G923+E923</f>
        <v>0</v>
      </c>
      <c r="J923" s="792">
        <f t="shared" si="84"/>
        <v>0</v>
      </c>
      <c r="K923" s="792"/>
      <c r="L923" s="812"/>
      <c r="M923" s="792">
        <f t="shared" si="78"/>
        <v>0</v>
      </c>
      <c r="N923" s="812"/>
      <c r="O923" s="792">
        <f t="shared" si="79"/>
        <v>0</v>
      </c>
      <c r="P923" s="792">
        <f t="shared" si="80"/>
        <v>0</v>
      </c>
    </row>
    <row r="924" spans="3:16">
      <c r="C924" s="788">
        <f>IF(D878="","-",+C923+1)</f>
        <v>2054</v>
      </c>
      <c r="D924" s="736">
        <f t="shared" si="81"/>
        <v>0</v>
      </c>
      <c r="E924" s="789">
        <f t="shared" si="83"/>
        <v>0</v>
      </c>
      <c r="F924" s="789">
        <f t="shared" si="77"/>
        <v>0</v>
      </c>
      <c r="G924" s="736">
        <f t="shared" si="82"/>
        <v>0</v>
      </c>
      <c r="H924" s="794">
        <f>+J879*G924+E924</f>
        <v>0</v>
      </c>
      <c r="I924" s="795">
        <f>+J880*G924+E924</f>
        <v>0</v>
      </c>
      <c r="J924" s="792">
        <f t="shared" si="84"/>
        <v>0</v>
      </c>
      <c r="K924" s="792"/>
      <c r="L924" s="812"/>
      <c r="M924" s="792">
        <f t="shared" si="78"/>
        <v>0</v>
      </c>
      <c r="N924" s="812"/>
      <c r="O924" s="792">
        <f t="shared" si="79"/>
        <v>0</v>
      </c>
      <c r="P924" s="792">
        <f t="shared" si="80"/>
        <v>0</v>
      </c>
    </row>
    <row r="925" spans="3:16">
      <c r="C925" s="788">
        <f>IF(D878="","-",+C924+1)</f>
        <v>2055</v>
      </c>
      <c r="D925" s="736">
        <f t="shared" si="81"/>
        <v>0</v>
      </c>
      <c r="E925" s="789">
        <f t="shared" si="83"/>
        <v>0</v>
      </c>
      <c r="F925" s="789">
        <f t="shared" si="77"/>
        <v>0</v>
      </c>
      <c r="G925" s="736">
        <f t="shared" si="82"/>
        <v>0</v>
      </c>
      <c r="H925" s="794">
        <f>+J879*G925+E925</f>
        <v>0</v>
      </c>
      <c r="I925" s="795">
        <f>+J880*G925+E925</f>
        <v>0</v>
      </c>
      <c r="J925" s="792">
        <f t="shared" si="84"/>
        <v>0</v>
      </c>
      <c r="K925" s="792"/>
      <c r="L925" s="812"/>
      <c r="M925" s="792">
        <f t="shared" si="78"/>
        <v>0</v>
      </c>
      <c r="N925" s="812"/>
      <c r="O925" s="792">
        <f t="shared" si="79"/>
        <v>0</v>
      </c>
      <c r="P925" s="792">
        <f t="shared" si="80"/>
        <v>0</v>
      </c>
    </row>
    <row r="926" spans="3:16">
      <c r="C926" s="788">
        <f>IF(D878="","-",+C925+1)</f>
        <v>2056</v>
      </c>
      <c r="D926" s="736">
        <f t="shared" si="81"/>
        <v>0</v>
      </c>
      <c r="E926" s="789">
        <f t="shared" si="83"/>
        <v>0</v>
      </c>
      <c r="F926" s="789">
        <f t="shared" si="77"/>
        <v>0</v>
      </c>
      <c r="G926" s="736">
        <f t="shared" si="82"/>
        <v>0</v>
      </c>
      <c r="H926" s="794">
        <f>+J879*G926+E926</f>
        <v>0</v>
      </c>
      <c r="I926" s="795">
        <f>+J880*G926+E926</f>
        <v>0</v>
      </c>
      <c r="J926" s="792">
        <f t="shared" si="84"/>
        <v>0</v>
      </c>
      <c r="K926" s="792"/>
      <c r="L926" s="812"/>
      <c r="M926" s="792">
        <f t="shared" si="78"/>
        <v>0</v>
      </c>
      <c r="N926" s="812"/>
      <c r="O926" s="792">
        <f t="shared" si="79"/>
        <v>0</v>
      </c>
      <c r="P926" s="792">
        <f t="shared" si="80"/>
        <v>0</v>
      </c>
    </row>
    <row r="927" spans="3:16">
      <c r="C927" s="788">
        <f>IF(D878="","-",+C926+1)</f>
        <v>2057</v>
      </c>
      <c r="D927" s="736">
        <f t="shared" si="81"/>
        <v>0</v>
      </c>
      <c r="E927" s="789">
        <f t="shared" si="83"/>
        <v>0</v>
      </c>
      <c r="F927" s="789">
        <f t="shared" si="77"/>
        <v>0</v>
      </c>
      <c r="G927" s="736">
        <f t="shared" si="82"/>
        <v>0</v>
      </c>
      <c r="H927" s="794">
        <f>+J879*G927+E927</f>
        <v>0</v>
      </c>
      <c r="I927" s="795">
        <f>+J880*G927+E927</f>
        <v>0</v>
      </c>
      <c r="J927" s="792">
        <f t="shared" si="84"/>
        <v>0</v>
      </c>
      <c r="K927" s="792"/>
      <c r="L927" s="812"/>
      <c r="M927" s="792">
        <f t="shared" si="78"/>
        <v>0</v>
      </c>
      <c r="N927" s="812"/>
      <c r="O927" s="792">
        <f t="shared" si="79"/>
        <v>0</v>
      </c>
      <c r="P927" s="792">
        <f t="shared" si="80"/>
        <v>0</v>
      </c>
    </row>
    <row r="928" spans="3:16">
      <c r="C928" s="788">
        <f>IF(D878="","-",+C927+1)</f>
        <v>2058</v>
      </c>
      <c r="D928" s="736">
        <f t="shared" si="81"/>
        <v>0</v>
      </c>
      <c r="E928" s="789">
        <f t="shared" si="83"/>
        <v>0</v>
      </c>
      <c r="F928" s="789">
        <f t="shared" si="77"/>
        <v>0</v>
      </c>
      <c r="G928" s="736">
        <f t="shared" si="82"/>
        <v>0</v>
      </c>
      <c r="H928" s="794">
        <f>+J879*G928+E928</f>
        <v>0</v>
      </c>
      <c r="I928" s="795">
        <f>+J880*G928+E928</f>
        <v>0</v>
      </c>
      <c r="J928" s="792">
        <f t="shared" si="84"/>
        <v>0</v>
      </c>
      <c r="K928" s="792"/>
      <c r="L928" s="812"/>
      <c r="M928" s="792">
        <f t="shared" si="78"/>
        <v>0</v>
      </c>
      <c r="N928" s="812"/>
      <c r="O928" s="792">
        <f t="shared" si="79"/>
        <v>0</v>
      </c>
      <c r="P928" s="792">
        <f t="shared" si="80"/>
        <v>0</v>
      </c>
    </row>
    <row r="929" spans="3:16">
      <c r="C929" s="788">
        <f>IF(D878="","-",+C928+1)</f>
        <v>2059</v>
      </c>
      <c r="D929" s="736">
        <f t="shared" si="81"/>
        <v>0</v>
      </c>
      <c r="E929" s="789">
        <f t="shared" si="83"/>
        <v>0</v>
      </c>
      <c r="F929" s="789">
        <f t="shared" si="77"/>
        <v>0</v>
      </c>
      <c r="G929" s="736">
        <f t="shared" si="82"/>
        <v>0</v>
      </c>
      <c r="H929" s="794">
        <f>+J879*G929+E929</f>
        <v>0</v>
      </c>
      <c r="I929" s="795">
        <f>+J880*G929+E929</f>
        <v>0</v>
      </c>
      <c r="J929" s="792">
        <f t="shared" si="84"/>
        <v>0</v>
      </c>
      <c r="K929" s="792"/>
      <c r="L929" s="812"/>
      <c r="M929" s="792">
        <f t="shared" si="78"/>
        <v>0</v>
      </c>
      <c r="N929" s="812"/>
      <c r="O929" s="792">
        <f t="shared" si="79"/>
        <v>0</v>
      </c>
      <c r="P929" s="792">
        <f t="shared" si="80"/>
        <v>0</v>
      </c>
    </row>
    <row r="930" spans="3:16">
      <c r="C930" s="788">
        <f>IF(D878="","-",+C929+1)</f>
        <v>2060</v>
      </c>
      <c r="D930" s="736">
        <f t="shared" si="81"/>
        <v>0</v>
      </c>
      <c r="E930" s="789">
        <f t="shared" si="83"/>
        <v>0</v>
      </c>
      <c r="F930" s="789">
        <f t="shared" si="77"/>
        <v>0</v>
      </c>
      <c r="G930" s="736">
        <f t="shared" si="82"/>
        <v>0</v>
      </c>
      <c r="H930" s="794">
        <f>+J879*G930+E930</f>
        <v>0</v>
      </c>
      <c r="I930" s="795">
        <f>+J880*G930+E930</f>
        <v>0</v>
      </c>
      <c r="J930" s="792">
        <f t="shared" si="84"/>
        <v>0</v>
      </c>
      <c r="K930" s="792"/>
      <c r="L930" s="812"/>
      <c r="M930" s="792">
        <f t="shared" si="78"/>
        <v>0</v>
      </c>
      <c r="N930" s="812"/>
      <c r="O930" s="792">
        <f t="shared" si="79"/>
        <v>0</v>
      </c>
      <c r="P930" s="792">
        <f t="shared" si="80"/>
        <v>0</v>
      </c>
    </row>
    <row r="931" spans="3:16">
      <c r="C931" s="788">
        <f>IF(D878="","-",+C930+1)</f>
        <v>2061</v>
      </c>
      <c r="D931" s="736">
        <f t="shared" si="81"/>
        <v>0</v>
      </c>
      <c r="E931" s="789">
        <f t="shared" si="83"/>
        <v>0</v>
      </c>
      <c r="F931" s="789">
        <f t="shared" si="77"/>
        <v>0</v>
      </c>
      <c r="G931" s="736">
        <f t="shared" si="82"/>
        <v>0</v>
      </c>
      <c r="H931" s="794">
        <f>+J879*G931+E931</f>
        <v>0</v>
      </c>
      <c r="I931" s="795">
        <f>+J880*G931+E931</f>
        <v>0</v>
      </c>
      <c r="J931" s="792">
        <f t="shared" si="84"/>
        <v>0</v>
      </c>
      <c r="K931" s="792"/>
      <c r="L931" s="812"/>
      <c r="M931" s="792">
        <f t="shared" si="78"/>
        <v>0</v>
      </c>
      <c r="N931" s="812"/>
      <c r="O931" s="792">
        <f t="shared" si="79"/>
        <v>0</v>
      </c>
      <c r="P931" s="792">
        <f t="shared" si="80"/>
        <v>0</v>
      </c>
    </row>
    <row r="932" spans="3:16">
      <c r="C932" s="788">
        <f>IF(D878="","-",+C931+1)</f>
        <v>2062</v>
      </c>
      <c r="D932" s="736">
        <f t="shared" si="81"/>
        <v>0</v>
      </c>
      <c r="E932" s="789">
        <f t="shared" si="83"/>
        <v>0</v>
      </c>
      <c r="F932" s="789">
        <f t="shared" si="77"/>
        <v>0</v>
      </c>
      <c r="G932" s="736">
        <f t="shared" si="82"/>
        <v>0</v>
      </c>
      <c r="H932" s="794">
        <f>+J879*G932+E932</f>
        <v>0</v>
      </c>
      <c r="I932" s="795">
        <f>+J880*G932+E932</f>
        <v>0</v>
      </c>
      <c r="J932" s="792">
        <f t="shared" si="84"/>
        <v>0</v>
      </c>
      <c r="K932" s="792"/>
      <c r="L932" s="812"/>
      <c r="M932" s="792">
        <f t="shared" si="78"/>
        <v>0</v>
      </c>
      <c r="N932" s="812"/>
      <c r="O932" s="792">
        <f t="shared" si="79"/>
        <v>0</v>
      </c>
      <c r="P932" s="792">
        <f t="shared" si="80"/>
        <v>0</v>
      </c>
    </row>
    <row r="933" spans="3:16">
      <c r="C933" s="788">
        <f>IF(D878="","-",+C932+1)</f>
        <v>2063</v>
      </c>
      <c r="D933" s="736">
        <f t="shared" si="81"/>
        <v>0</v>
      </c>
      <c r="E933" s="789">
        <f t="shared" si="83"/>
        <v>0</v>
      </c>
      <c r="F933" s="789">
        <f t="shared" si="77"/>
        <v>0</v>
      </c>
      <c r="G933" s="736">
        <f t="shared" si="82"/>
        <v>0</v>
      </c>
      <c r="H933" s="794">
        <f>+J879*G933+E933</f>
        <v>0</v>
      </c>
      <c r="I933" s="795">
        <f>+J880*G933+E933</f>
        <v>0</v>
      </c>
      <c r="J933" s="792">
        <f t="shared" si="84"/>
        <v>0</v>
      </c>
      <c r="K933" s="792"/>
      <c r="L933" s="812"/>
      <c r="M933" s="792">
        <f t="shared" si="78"/>
        <v>0</v>
      </c>
      <c r="N933" s="812"/>
      <c r="O933" s="792">
        <f t="shared" si="79"/>
        <v>0</v>
      </c>
      <c r="P933" s="792">
        <f t="shared" si="80"/>
        <v>0</v>
      </c>
    </row>
    <row r="934" spans="3:16">
      <c r="C934" s="788">
        <f>IF(D878="","-",+C933+1)</f>
        <v>2064</v>
      </c>
      <c r="D934" s="736">
        <f t="shared" si="81"/>
        <v>0</v>
      </c>
      <c r="E934" s="789">
        <f t="shared" si="83"/>
        <v>0</v>
      </c>
      <c r="F934" s="789">
        <f t="shared" si="77"/>
        <v>0</v>
      </c>
      <c r="G934" s="736">
        <f t="shared" si="82"/>
        <v>0</v>
      </c>
      <c r="H934" s="794">
        <f>+J879*G934+E934</f>
        <v>0</v>
      </c>
      <c r="I934" s="795">
        <f>+J880*G934+E934</f>
        <v>0</v>
      </c>
      <c r="J934" s="792">
        <f t="shared" si="84"/>
        <v>0</v>
      </c>
      <c r="K934" s="792"/>
      <c r="L934" s="812"/>
      <c r="M934" s="792">
        <f t="shared" si="78"/>
        <v>0</v>
      </c>
      <c r="N934" s="812"/>
      <c r="O934" s="792">
        <f t="shared" si="79"/>
        <v>0</v>
      </c>
      <c r="P934" s="792">
        <f t="shared" si="80"/>
        <v>0</v>
      </c>
    </row>
    <row r="935" spans="3:16">
      <c r="C935" s="788">
        <f>IF(D878="","-",+C934+1)</f>
        <v>2065</v>
      </c>
      <c r="D935" s="736">
        <f t="shared" si="81"/>
        <v>0</v>
      </c>
      <c r="E935" s="789">
        <f t="shared" si="83"/>
        <v>0</v>
      </c>
      <c r="F935" s="789">
        <f t="shared" si="77"/>
        <v>0</v>
      </c>
      <c r="G935" s="736">
        <f t="shared" si="82"/>
        <v>0</v>
      </c>
      <c r="H935" s="794">
        <f>+J879*G935+E935</f>
        <v>0</v>
      </c>
      <c r="I935" s="795">
        <f>+J880*G935+E935</f>
        <v>0</v>
      </c>
      <c r="J935" s="792">
        <f t="shared" si="84"/>
        <v>0</v>
      </c>
      <c r="K935" s="792"/>
      <c r="L935" s="812"/>
      <c r="M935" s="792">
        <f t="shared" si="78"/>
        <v>0</v>
      </c>
      <c r="N935" s="812"/>
      <c r="O935" s="792">
        <f t="shared" si="79"/>
        <v>0</v>
      </c>
      <c r="P935" s="792">
        <f t="shared" si="80"/>
        <v>0</v>
      </c>
    </row>
    <row r="936" spans="3:16">
      <c r="C936" s="788">
        <f>IF(D878="","-",+C935+1)</f>
        <v>2066</v>
      </c>
      <c r="D936" s="736">
        <f t="shared" si="81"/>
        <v>0</v>
      </c>
      <c r="E936" s="789">
        <f t="shared" si="83"/>
        <v>0</v>
      </c>
      <c r="F936" s="789">
        <f t="shared" si="77"/>
        <v>0</v>
      </c>
      <c r="G936" s="736">
        <f t="shared" si="82"/>
        <v>0</v>
      </c>
      <c r="H936" s="794">
        <f>+J879*G936+E936</f>
        <v>0</v>
      </c>
      <c r="I936" s="795">
        <f>+J880*G936+E936</f>
        <v>0</v>
      </c>
      <c r="J936" s="792">
        <f t="shared" si="84"/>
        <v>0</v>
      </c>
      <c r="K936" s="792"/>
      <c r="L936" s="812"/>
      <c r="M936" s="792">
        <f t="shared" si="78"/>
        <v>0</v>
      </c>
      <c r="N936" s="812"/>
      <c r="O936" s="792">
        <f t="shared" si="79"/>
        <v>0</v>
      </c>
      <c r="P936" s="792">
        <f t="shared" si="80"/>
        <v>0</v>
      </c>
    </row>
    <row r="937" spans="3:16">
      <c r="C937" s="788">
        <f>IF(D878="","-",+C936+1)</f>
        <v>2067</v>
      </c>
      <c r="D937" s="736">
        <f t="shared" si="81"/>
        <v>0</v>
      </c>
      <c r="E937" s="789">
        <f t="shared" si="83"/>
        <v>0</v>
      </c>
      <c r="F937" s="789">
        <f t="shared" si="77"/>
        <v>0</v>
      </c>
      <c r="G937" s="736">
        <f t="shared" si="82"/>
        <v>0</v>
      </c>
      <c r="H937" s="794">
        <f>+J879*G937+E937</f>
        <v>0</v>
      </c>
      <c r="I937" s="795">
        <f>+J880*G937+E937</f>
        <v>0</v>
      </c>
      <c r="J937" s="792">
        <f t="shared" si="84"/>
        <v>0</v>
      </c>
      <c r="K937" s="792"/>
      <c r="L937" s="812"/>
      <c r="M937" s="792">
        <f t="shared" si="78"/>
        <v>0</v>
      </c>
      <c r="N937" s="812"/>
      <c r="O937" s="792">
        <f t="shared" si="79"/>
        <v>0</v>
      </c>
      <c r="P937" s="792">
        <f t="shared" si="80"/>
        <v>0</v>
      </c>
    </row>
    <row r="938" spans="3:16">
      <c r="C938" s="788">
        <f>IF(D878="","-",+C937+1)</f>
        <v>2068</v>
      </c>
      <c r="D938" s="736">
        <f t="shared" si="81"/>
        <v>0</v>
      </c>
      <c r="E938" s="789">
        <f t="shared" si="83"/>
        <v>0</v>
      </c>
      <c r="F938" s="789">
        <f t="shared" si="77"/>
        <v>0</v>
      </c>
      <c r="G938" s="736">
        <f t="shared" si="82"/>
        <v>0</v>
      </c>
      <c r="H938" s="794">
        <f>+J879*G938+E938</f>
        <v>0</v>
      </c>
      <c r="I938" s="795">
        <f>+J880*G938+E938</f>
        <v>0</v>
      </c>
      <c r="J938" s="792">
        <f t="shared" si="84"/>
        <v>0</v>
      </c>
      <c r="K938" s="792"/>
      <c r="L938" s="812"/>
      <c r="M938" s="792">
        <f t="shared" si="78"/>
        <v>0</v>
      </c>
      <c r="N938" s="812"/>
      <c r="O938" s="792">
        <f t="shared" si="79"/>
        <v>0</v>
      </c>
      <c r="P938" s="792">
        <f t="shared" si="80"/>
        <v>0</v>
      </c>
    </row>
    <row r="939" spans="3:16">
      <c r="C939" s="788">
        <f>IF(D878="","-",+C938+1)</f>
        <v>2069</v>
      </c>
      <c r="D939" s="736">
        <f t="shared" si="81"/>
        <v>0</v>
      </c>
      <c r="E939" s="789">
        <f t="shared" si="83"/>
        <v>0</v>
      </c>
      <c r="F939" s="789">
        <f t="shared" si="77"/>
        <v>0</v>
      </c>
      <c r="G939" s="736">
        <f t="shared" si="82"/>
        <v>0</v>
      </c>
      <c r="H939" s="794">
        <f>+J879*G939+E939</f>
        <v>0</v>
      </c>
      <c r="I939" s="795">
        <f>+J880*G939+E939</f>
        <v>0</v>
      </c>
      <c r="J939" s="792">
        <f t="shared" si="84"/>
        <v>0</v>
      </c>
      <c r="K939" s="792"/>
      <c r="L939" s="812"/>
      <c r="M939" s="792">
        <f t="shared" si="78"/>
        <v>0</v>
      </c>
      <c r="N939" s="812"/>
      <c r="O939" s="792">
        <f t="shared" si="79"/>
        <v>0</v>
      </c>
      <c r="P939" s="792">
        <f t="shared" si="80"/>
        <v>0</v>
      </c>
    </row>
    <row r="940" spans="3:16">
      <c r="C940" s="788">
        <f>IF(D878="","-",+C939+1)</f>
        <v>2070</v>
      </c>
      <c r="D940" s="736">
        <f t="shared" si="81"/>
        <v>0</v>
      </c>
      <c r="E940" s="789">
        <f t="shared" si="83"/>
        <v>0</v>
      </c>
      <c r="F940" s="789">
        <f t="shared" si="77"/>
        <v>0</v>
      </c>
      <c r="G940" s="736">
        <f t="shared" si="82"/>
        <v>0</v>
      </c>
      <c r="H940" s="794">
        <f>+J879*G940+E940</f>
        <v>0</v>
      </c>
      <c r="I940" s="795">
        <f>+J880*G940+E940</f>
        <v>0</v>
      </c>
      <c r="J940" s="792">
        <f t="shared" si="84"/>
        <v>0</v>
      </c>
      <c r="K940" s="792"/>
      <c r="L940" s="812"/>
      <c r="M940" s="792">
        <f t="shared" si="78"/>
        <v>0</v>
      </c>
      <c r="N940" s="812"/>
      <c r="O940" s="792">
        <f t="shared" si="79"/>
        <v>0</v>
      </c>
      <c r="P940" s="792">
        <f t="shared" si="80"/>
        <v>0</v>
      </c>
    </row>
    <row r="941" spans="3:16">
      <c r="C941" s="788">
        <f>IF(D878="","-",+C940+1)</f>
        <v>2071</v>
      </c>
      <c r="D941" s="736">
        <f t="shared" si="81"/>
        <v>0</v>
      </c>
      <c r="E941" s="789">
        <f t="shared" si="83"/>
        <v>0</v>
      </c>
      <c r="F941" s="789">
        <f t="shared" si="77"/>
        <v>0</v>
      </c>
      <c r="G941" s="736">
        <f t="shared" si="82"/>
        <v>0</v>
      </c>
      <c r="H941" s="794">
        <f>+J879*G941+E941</f>
        <v>0</v>
      </c>
      <c r="I941" s="795">
        <f>+J880*G941+E941</f>
        <v>0</v>
      </c>
      <c r="J941" s="792">
        <f t="shared" si="84"/>
        <v>0</v>
      </c>
      <c r="K941" s="792"/>
      <c r="L941" s="812"/>
      <c r="M941" s="792">
        <f t="shared" si="78"/>
        <v>0</v>
      </c>
      <c r="N941" s="812"/>
      <c r="O941" s="792">
        <f t="shared" si="79"/>
        <v>0</v>
      </c>
      <c r="P941" s="792">
        <f t="shared" si="80"/>
        <v>0</v>
      </c>
    </row>
    <row r="942" spans="3:16">
      <c r="C942" s="788">
        <f>IF(D878="","-",+C941+1)</f>
        <v>2072</v>
      </c>
      <c r="D942" s="736">
        <f t="shared" si="81"/>
        <v>0</v>
      </c>
      <c r="E942" s="789">
        <f t="shared" si="83"/>
        <v>0</v>
      </c>
      <c r="F942" s="789">
        <f t="shared" si="77"/>
        <v>0</v>
      </c>
      <c r="G942" s="736">
        <f t="shared" si="82"/>
        <v>0</v>
      </c>
      <c r="H942" s="794">
        <f>+J879*G942+E942</f>
        <v>0</v>
      </c>
      <c r="I942" s="795">
        <f>+J880*G942+E942</f>
        <v>0</v>
      </c>
      <c r="J942" s="792">
        <f t="shared" si="84"/>
        <v>0</v>
      </c>
      <c r="K942" s="792"/>
      <c r="L942" s="812"/>
      <c r="M942" s="792">
        <f t="shared" si="78"/>
        <v>0</v>
      </c>
      <c r="N942" s="812"/>
      <c r="O942" s="792">
        <f t="shared" si="79"/>
        <v>0</v>
      </c>
      <c r="P942" s="792">
        <f t="shared" si="80"/>
        <v>0</v>
      </c>
    </row>
    <row r="943" spans="3:16" ht="13.5" thickBot="1">
      <c r="C943" s="798">
        <f>IF(D878="","-",+C942+1)</f>
        <v>2073</v>
      </c>
      <c r="D943" s="799">
        <f t="shared" si="81"/>
        <v>0</v>
      </c>
      <c r="E943" s="800">
        <f t="shared" si="83"/>
        <v>0</v>
      </c>
      <c r="F943" s="1322">
        <f t="shared" si="77"/>
        <v>0</v>
      </c>
      <c r="G943" s="799">
        <f t="shared" si="82"/>
        <v>0</v>
      </c>
      <c r="H943" s="801">
        <f>+J879*G943+E943</f>
        <v>0</v>
      </c>
      <c r="I943" s="801">
        <f>+J880*G943+E943</f>
        <v>0</v>
      </c>
      <c r="J943" s="802">
        <f t="shared" si="84"/>
        <v>0</v>
      </c>
      <c r="K943" s="792"/>
      <c r="L943" s="813"/>
      <c r="M943" s="802">
        <f t="shared" si="78"/>
        <v>0</v>
      </c>
      <c r="N943" s="813"/>
      <c r="O943" s="802">
        <f t="shared" si="79"/>
        <v>0</v>
      </c>
      <c r="P943" s="802">
        <f t="shared" si="80"/>
        <v>0</v>
      </c>
    </row>
    <row r="944" spans="3:16">
      <c r="C944" s="736" t="s">
        <v>83</v>
      </c>
      <c r="D944" s="730"/>
      <c r="E944" s="730">
        <f>SUM(E884:E943)</f>
        <v>0</v>
      </c>
      <c r="F944" s="730"/>
      <c r="G944" s="730"/>
      <c r="H944" s="730">
        <f>SUM(H884:H943)</f>
        <v>0</v>
      </c>
      <c r="I944" s="730">
        <f>SUM(I884:I943)</f>
        <v>0</v>
      </c>
      <c r="J944" s="730">
        <f>SUM(J884:J943)</f>
        <v>0</v>
      </c>
      <c r="K944" s="730"/>
      <c r="L944" s="730"/>
      <c r="M944" s="730"/>
      <c r="N944" s="730"/>
      <c r="O944" s="730"/>
    </row>
    <row r="945" spans="1:17">
      <c r="D945" s="538"/>
      <c r="E945" s="313"/>
      <c r="F945" s="313"/>
      <c r="G945" s="313"/>
      <c r="H945" s="313"/>
      <c r="I945" s="708"/>
      <c r="J945" s="708"/>
      <c r="K945" s="730"/>
      <c r="L945" s="708"/>
      <c r="M945" s="708"/>
      <c r="N945" s="708"/>
      <c r="O945" s="708"/>
    </row>
    <row r="946" spans="1:17">
      <c r="C946" s="313" t="s">
        <v>13</v>
      </c>
      <c r="D946" s="538"/>
      <c r="E946" s="313"/>
      <c r="F946" s="313"/>
      <c r="G946" s="313"/>
      <c r="H946" s="313"/>
      <c r="I946" s="708"/>
      <c r="J946" s="708"/>
      <c r="K946" s="730"/>
      <c r="L946" s="708"/>
      <c r="M946" s="708"/>
      <c r="N946" s="708"/>
      <c r="O946" s="708"/>
    </row>
    <row r="947" spans="1:17">
      <c r="C947" s="313"/>
      <c r="D947" s="538"/>
      <c r="E947" s="313"/>
      <c r="F947" s="313"/>
      <c r="G947" s="313"/>
      <c r="H947" s="313"/>
      <c r="I947" s="708"/>
      <c r="J947" s="708"/>
      <c r="K947" s="730"/>
      <c r="L947" s="708"/>
      <c r="M947" s="708"/>
      <c r="N947" s="708"/>
      <c r="O947" s="708"/>
    </row>
    <row r="948" spans="1:17">
      <c r="C948" s="749" t="s">
        <v>14</v>
      </c>
      <c r="D948" s="736"/>
      <c r="E948" s="736"/>
      <c r="F948" s="736"/>
      <c r="G948" s="736"/>
      <c r="H948" s="730"/>
      <c r="I948" s="730"/>
      <c r="J948" s="804"/>
      <c r="K948" s="804"/>
      <c r="L948" s="804"/>
      <c r="M948" s="804"/>
      <c r="N948" s="804"/>
      <c r="O948" s="804"/>
    </row>
    <row r="949" spans="1:17">
      <c r="C949" s="735" t="s">
        <v>263</v>
      </c>
      <c r="D949" s="736"/>
      <c r="E949" s="736"/>
      <c r="F949" s="736"/>
      <c r="G949" s="736"/>
      <c r="H949" s="730"/>
      <c r="I949" s="730"/>
      <c r="J949" s="804"/>
      <c r="K949" s="804"/>
      <c r="L949" s="804"/>
      <c r="M949" s="804"/>
      <c r="N949" s="804"/>
      <c r="O949" s="804"/>
    </row>
    <row r="950" spans="1:17">
      <c r="C950" s="735" t="s">
        <v>84</v>
      </c>
      <c r="D950" s="736"/>
      <c r="E950" s="736"/>
      <c r="F950" s="736"/>
      <c r="G950" s="736"/>
      <c r="H950" s="730"/>
      <c r="I950" s="730"/>
      <c r="J950" s="804"/>
      <c r="K950" s="804"/>
      <c r="L950" s="804"/>
      <c r="M950" s="804"/>
      <c r="N950" s="804"/>
      <c r="O950" s="804"/>
    </row>
    <row r="952" spans="1:17" ht="20.25">
      <c r="A952" s="737" t="str">
        <f>""&amp;A877&amp;" Worksheet K -  ATRR TRUE-UP Calculation for PJM Projects Charged to Benefiting Zones"</f>
        <v xml:space="preserve"> Worksheet K -  ATRR TRUE-UP Calculation for PJM Projects Charged to Benefiting Zones</v>
      </c>
      <c r="B952" s="347"/>
      <c r="C952" s="725"/>
      <c r="D952" s="538"/>
      <c r="E952" s="313"/>
      <c r="F952" s="707"/>
      <c r="G952" s="707"/>
      <c r="H952" s="313"/>
      <c r="I952" s="708"/>
      <c r="L952" s="564"/>
      <c r="M952" s="564"/>
      <c r="N952" s="564"/>
      <c r="O952" s="653" t="str">
        <f>"Page "&amp;SUM(Q$8:Q952)&amp;" of "</f>
        <v xml:space="preserve">Page 12 of </v>
      </c>
      <c r="P952" s="654">
        <f>COUNT(Q$8:Q$57703)</f>
        <v>22</v>
      </c>
      <c r="Q952" s="655">
        <v>1</v>
      </c>
    </row>
    <row r="953" spans="1:17">
      <c r="B953" s="347"/>
      <c r="C953" s="313"/>
      <c r="D953" s="538"/>
      <c r="E953" s="313"/>
      <c r="F953" s="313"/>
      <c r="G953" s="313"/>
      <c r="H953" s="313"/>
      <c r="I953" s="708"/>
      <c r="J953" s="313"/>
      <c r="K953" s="426"/>
    </row>
    <row r="954" spans="1:17" ht="18">
      <c r="B954" s="657" t="s">
        <v>466</v>
      </c>
      <c r="C954" s="739" t="s">
        <v>85</v>
      </c>
      <c r="D954" s="538"/>
      <c r="E954" s="313"/>
      <c r="F954" s="313"/>
      <c r="G954" s="313"/>
      <c r="H954" s="313"/>
      <c r="I954" s="708"/>
      <c r="J954" s="708"/>
      <c r="K954" s="730"/>
      <c r="L954" s="708"/>
      <c r="M954" s="708"/>
      <c r="N954" s="708"/>
      <c r="O954" s="708"/>
    </row>
    <row r="955" spans="1:17" ht="18.75">
      <c r="B955" s="657"/>
      <c r="C955" s="656"/>
      <c r="D955" s="538"/>
      <c r="E955" s="313"/>
      <c r="F955" s="313"/>
      <c r="G955" s="313"/>
      <c r="H955" s="313"/>
      <c r="I955" s="708"/>
      <c r="J955" s="708"/>
      <c r="K955" s="730"/>
      <c r="L955" s="708"/>
      <c r="M955" s="708"/>
      <c r="N955" s="708"/>
      <c r="O955" s="708"/>
    </row>
    <row r="956" spans="1:17" ht="18.75">
      <c r="B956" s="657"/>
      <c r="C956" s="656" t="s">
        <v>86</v>
      </c>
      <c r="D956" s="538"/>
      <c r="E956" s="313"/>
      <c r="F956" s="313"/>
      <c r="G956" s="313"/>
      <c r="H956" s="313"/>
      <c r="I956" s="708"/>
      <c r="J956" s="708"/>
      <c r="K956" s="730"/>
      <c r="L956" s="708"/>
      <c r="M956" s="708"/>
      <c r="N956" s="708"/>
      <c r="O956" s="708"/>
    </row>
    <row r="957" spans="1:17" ht="15.75" thickBot="1">
      <c r="C957" s="239"/>
      <c r="D957" s="538"/>
      <c r="E957" s="313"/>
      <c r="F957" s="313"/>
      <c r="G957" s="313"/>
      <c r="H957" s="313"/>
      <c r="I957" s="708"/>
      <c r="J957" s="708"/>
      <c r="K957" s="730"/>
      <c r="L957" s="708"/>
      <c r="M957" s="708"/>
      <c r="N957" s="708"/>
      <c r="O957" s="708"/>
    </row>
    <row r="958" spans="1:17" ht="15.75">
      <c r="C958" s="659" t="s">
        <v>87</v>
      </c>
      <c r="D958" s="538"/>
      <c r="E958" s="313"/>
      <c r="F958" s="313"/>
      <c r="G958" s="313"/>
      <c r="H958" s="806"/>
      <c r="I958" s="313" t="s">
        <v>66</v>
      </c>
      <c r="J958" s="313"/>
      <c r="K958" s="426"/>
      <c r="L958" s="835">
        <f>+J964</f>
        <v>2023</v>
      </c>
      <c r="M958" s="816" t="s">
        <v>45</v>
      </c>
      <c r="N958" s="816" t="s">
        <v>46</v>
      </c>
      <c r="O958" s="817" t="s">
        <v>47</v>
      </c>
    </row>
    <row r="959" spans="1:17" ht="15.75">
      <c r="C959" s="659"/>
      <c r="D959" s="538"/>
      <c r="E959" s="313"/>
      <c r="F959" s="313"/>
      <c r="H959" s="313"/>
      <c r="I959" s="744"/>
      <c r="J959" s="744"/>
      <c r="K959" s="745"/>
      <c r="L959" s="836" t="s">
        <v>235</v>
      </c>
      <c r="M959" s="837">
        <f>VLOOKUP(J964,C971:P1030,10)</f>
        <v>1920527.4167347513</v>
      </c>
      <c r="N959" s="837">
        <f>VLOOKUP(J964,C971:P1030,12)</f>
        <v>1920527.4167347513</v>
      </c>
      <c r="O959" s="838">
        <f>+N959-M959</f>
        <v>0</v>
      </c>
    </row>
    <row r="960" spans="1:17" ht="12.95" customHeight="1">
      <c r="C960" s="749" t="s">
        <v>88</v>
      </c>
      <c r="D960" s="1546" t="s">
        <v>819</v>
      </c>
      <c r="E960" s="1546"/>
      <c r="F960" s="1546"/>
      <c r="G960" s="1546"/>
      <c r="H960" s="1546"/>
      <c r="I960" s="1546"/>
      <c r="J960" s="708"/>
      <c r="K960" s="730"/>
      <c r="L960" s="836" t="s">
        <v>236</v>
      </c>
      <c r="M960" s="839">
        <f>VLOOKUP(J964,C971:P1030,6)</f>
        <v>1839736.2089293005</v>
      </c>
      <c r="N960" s="839">
        <f>VLOOKUP(J964,C971:P1030,7)</f>
        <v>1839736.2089293005</v>
      </c>
      <c r="O960" s="840">
        <f>+N960-M960</f>
        <v>0</v>
      </c>
    </row>
    <row r="961" spans="2:16" ht="13.5" thickBot="1">
      <c r="C961" s="753"/>
      <c r="D961" s="1546" t="s">
        <v>408</v>
      </c>
      <c r="E961" s="1546"/>
      <c r="F961" s="1546"/>
      <c r="G961" s="1546"/>
      <c r="H961" s="1546"/>
      <c r="I961" s="1546"/>
      <c r="J961" s="708"/>
      <c r="K961" s="730"/>
      <c r="L961" s="772" t="s">
        <v>237</v>
      </c>
      <c r="M961" s="841">
        <f>+M960-M959</f>
        <v>-80791.207805450773</v>
      </c>
      <c r="N961" s="841">
        <f>+N960-N959</f>
        <v>-80791.207805450773</v>
      </c>
      <c r="O961" s="842">
        <f>+O960-O959</f>
        <v>0</v>
      </c>
    </row>
    <row r="962" spans="2:16" ht="13.5" thickBot="1">
      <c r="C962" s="756"/>
      <c r="D962" s="757"/>
      <c r="E962" s="755"/>
      <c r="F962" s="755"/>
      <c r="G962" s="755"/>
      <c r="H962" s="755"/>
      <c r="I962" s="755"/>
      <c r="J962" s="755"/>
      <c r="K962" s="758"/>
      <c r="L962" s="755"/>
      <c r="M962" s="755"/>
      <c r="N962" s="755"/>
      <c r="O962" s="755"/>
      <c r="P962" s="347"/>
    </row>
    <row r="963" spans="2:16" ht="13.5" thickBot="1">
      <c r="C963" s="759" t="s">
        <v>89</v>
      </c>
      <c r="D963" s="760"/>
      <c r="E963" s="760"/>
      <c r="F963" s="760"/>
      <c r="G963" s="760"/>
      <c r="H963" s="760"/>
      <c r="I963" s="760"/>
      <c r="J963" s="760"/>
      <c r="K963" s="762"/>
      <c r="P963" s="763"/>
    </row>
    <row r="964" spans="2:16" ht="15">
      <c r="C964" s="764" t="s">
        <v>67</v>
      </c>
      <c r="D964" s="808">
        <v>13744473.9</v>
      </c>
      <c r="E964" s="725" t="s">
        <v>68</v>
      </c>
      <c r="H964" s="765"/>
      <c r="I964" s="765"/>
      <c r="J964" s="766">
        <f>$J$93</f>
        <v>2023</v>
      </c>
      <c r="K964" s="554"/>
      <c r="L964" s="1536" t="s">
        <v>69</v>
      </c>
      <c r="M964" s="1536"/>
      <c r="N964" s="1536"/>
      <c r="O964" s="1536"/>
      <c r="P964" s="426"/>
    </row>
    <row r="965" spans="2:16">
      <c r="C965" s="764" t="s">
        <v>70</v>
      </c>
      <c r="D965" s="809">
        <v>2013</v>
      </c>
      <c r="E965" s="764" t="s">
        <v>71</v>
      </c>
      <c r="F965" s="765"/>
      <c r="G965" s="765"/>
      <c r="I965" s="172"/>
      <c r="J965" s="810">
        <f>IF(H958="",0,$F$17)</f>
        <v>0</v>
      </c>
      <c r="K965" s="767"/>
      <c r="L965" s="730" t="s">
        <v>277</v>
      </c>
      <c r="P965" s="426"/>
    </row>
    <row r="966" spans="2:16">
      <c r="C966" s="764" t="s">
        <v>72</v>
      </c>
      <c r="D966" s="808">
        <v>12</v>
      </c>
      <c r="E966" s="764" t="s">
        <v>73</v>
      </c>
      <c r="F966" s="765"/>
      <c r="G966" s="765"/>
      <c r="I966" s="172"/>
      <c r="J966" s="768">
        <f>$F$70</f>
        <v>0.14450383244078713</v>
      </c>
      <c r="K966" s="769"/>
      <c r="L966" s="313" t="str">
        <f>"          INPUT TRUE-UP ARR (WITH &amp; WITHOUT INCENTIVES) FROM EACH PRIOR YEAR"</f>
        <v xml:space="preserve">          INPUT TRUE-UP ARR (WITH &amp; WITHOUT INCENTIVES) FROM EACH PRIOR YEAR</v>
      </c>
      <c r="P966" s="426"/>
    </row>
    <row r="967" spans="2:16">
      <c r="C967" s="764" t="s">
        <v>74</v>
      </c>
      <c r="D967" s="770">
        <f>H$79</f>
        <v>35</v>
      </c>
      <c r="E967" s="764" t="s">
        <v>75</v>
      </c>
      <c r="F967" s="765"/>
      <c r="G967" s="765"/>
      <c r="I967" s="172"/>
      <c r="J967" s="768">
        <f>IF(H958="",+J966,$F$69)</f>
        <v>0.14450383244078713</v>
      </c>
      <c r="K967" s="771"/>
      <c r="L967" s="313" t="s">
        <v>157</v>
      </c>
      <c r="M967" s="771"/>
      <c r="N967" s="771"/>
      <c r="O967" s="771"/>
      <c r="P967" s="426"/>
    </row>
    <row r="968" spans="2:16" ht="13.5" thickBot="1">
      <c r="C968" s="764" t="s">
        <v>76</v>
      </c>
      <c r="D968" s="807" t="s">
        <v>808</v>
      </c>
      <c r="E968" s="772" t="s">
        <v>77</v>
      </c>
      <c r="F968" s="773"/>
      <c r="G968" s="773"/>
      <c r="H968" s="774"/>
      <c r="I968" s="774"/>
      <c r="J968" s="752">
        <f>IF(D964=0,0,D964/D967)</f>
        <v>392699.2542857143</v>
      </c>
      <c r="K968" s="730"/>
      <c r="L968" s="730" t="s">
        <v>158</v>
      </c>
      <c r="M968" s="730"/>
      <c r="N968" s="730"/>
      <c r="O968" s="730"/>
      <c r="P968" s="426"/>
    </row>
    <row r="969" spans="2:16" ht="38.25">
      <c r="B969" s="845"/>
      <c r="C969" s="775" t="s">
        <v>67</v>
      </c>
      <c r="D969" s="776" t="s">
        <v>78</v>
      </c>
      <c r="E969" s="777" t="s">
        <v>79</v>
      </c>
      <c r="F969" s="776" t="s">
        <v>80</v>
      </c>
      <c r="G969" s="776" t="s">
        <v>238</v>
      </c>
      <c r="H969" s="777" t="s">
        <v>151</v>
      </c>
      <c r="I969" s="778" t="s">
        <v>151</v>
      </c>
      <c r="J969" s="775" t="s">
        <v>90</v>
      </c>
      <c r="K969" s="779"/>
      <c r="L969" s="777" t="s">
        <v>153</v>
      </c>
      <c r="M969" s="777" t="s">
        <v>159</v>
      </c>
      <c r="N969" s="777" t="s">
        <v>153</v>
      </c>
      <c r="O969" s="777" t="s">
        <v>161</v>
      </c>
      <c r="P969" s="777" t="s">
        <v>81</v>
      </c>
    </row>
    <row r="970" spans="2:16" ht="13.5" thickBot="1">
      <c r="C970" s="781" t="s">
        <v>469</v>
      </c>
      <c r="D970" s="782" t="s">
        <v>470</v>
      </c>
      <c r="E970" s="781" t="s">
        <v>363</v>
      </c>
      <c r="F970" s="782" t="s">
        <v>470</v>
      </c>
      <c r="G970" s="782" t="s">
        <v>470</v>
      </c>
      <c r="H970" s="783" t="s">
        <v>93</v>
      </c>
      <c r="I970" s="784" t="s">
        <v>95</v>
      </c>
      <c r="J970" s="785" t="s">
        <v>15</v>
      </c>
      <c r="K970" s="786"/>
      <c r="L970" s="783" t="s">
        <v>82</v>
      </c>
      <c r="M970" s="783" t="s">
        <v>82</v>
      </c>
      <c r="N970" s="783" t="s">
        <v>255</v>
      </c>
      <c r="O970" s="783" t="s">
        <v>255</v>
      </c>
      <c r="P970" s="783" t="s">
        <v>255</v>
      </c>
    </row>
    <row r="971" spans="2:16">
      <c r="C971" s="788">
        <f>IF(D965= "","-",D965)</f>
        <v>2013</v>
      </c>
      <c r="D971" s="736">
        <f>+D964</f>
        <v>13744473.9</v>
      </c>
      <c r="E971" s="794">
        <f>+J968/12*(12-D966)</f>
        <v>0</v>
      </c>
      <c r="F971" s="843">
        <f t="shared" ref="F971:F1030" si="85">+D971-E971</f>
        <v>13744473.9</v>
      </c>
      <c r="G971" s="736">
        <f>+(D971+F971)/2</f>
        <v>13744473.9</v>
      </c>
      <c r="H971" s="790">
        <f>+J966*G971+E971</f>
        <v>1986129.153432372</v>
      </c>
      <c r="I971" s="791">
        <f>+J967*G971+E971</f>
        <v>1986129.153432372</v>
      </c>
      <c r="J971" s="792">
        <f>+I971-H971</f>
        <v>0</v>
      </c>
      <c r="K971" s="792"/>
      <c r="L971" s="811">
        <v>0</v>
      </c>
      <c r="M971" s="844">
        <f t="shared" ref="M971:M1030" si="86">IF(L971&lt;&gt;0,+H971-L971,0)</f>
        <v>0</v>
      </c>
      <c r="N971" s="811">
        <v>0</v>
      </c>
      <c r="O971" s="844">
        <f t="shared" ref="O971:O1030" si="87">IF(N971&lt;&gt;0,+I971-N971,0)</f>
        <v>0</v>
      </c>
      <c r="P971" s="844">
        <f t="shared" ref="P971:P1030" si="88">+O971-M971</f>
        <v>0</v>
      </c>
    </row>
    <row r="972" spans="2:16">
      <c r="C972" s="788">
        <f>IF(D965="","-",+C971+1)</f>
        <v>2014</v>
      </c>
      <c r="D972" s="736">
        <f t="shared" ref="D972:D1030" si="89">F971</f>
        <v>13744473.9</v>
      </c>
      <c r="E972" s="789">
        <f>IF(D972&gt;$J$968,$J$968,D972)</f>
        <v>392699.2542857143</v>
      </c>
      <c r="F972" s="789">
        <f t="shared" si="85"/>
        <v>13351774.645714287</v>
      </c>
      <c r="G972" s="736">
        <f t="shared" ref="G972:G1030" si="90">+(D972+F972)/2</f>
        <v>13548124.272857144</v>
      </c>
      <c r="H972" s="794">
        <f>+J966*G972+E972</f>
        <v>2350455.1340976241</v>
      </c>
      <c r="I972" s="795">
        <f>+J967*G972+E972</f>
        <v>2350455.1340976241</v>
      </c>
      <c r="J972" s="792">
        <f>+I972-H972</f>
        <v>0</v>
      </c>
      <c r="K972" s="792"/>
      <c r="L972" s="812">
        <v>294473</v>
      </c>
      <c r="M972" s="792">
        <f t="shared" si="86"/>
        <v>2055982.1340976241</v>
      </c>
      <c r="N972" s="812">
        <v>294473</v>
      </c>
      <c r="O972" s="792">
        <f t="shared" si="87"/>
        <v>2055982.1340976241</v>
      </c>
      <c r="P972" s="792">
        <f t="shared" si="88"/>
        <v>0</v>
      </c>
    </row>
    <row r="973" spans="2:16">
      <c r="C973" s="788">
        <f>IF(D965="","-",+C972+1)</f>
        <v>2015</v>
      </c>
      <c r="D973" s="736">
        <f t="shared" si="89"/>
        <v>13351774.645714287</v>
      </c>
      <c r="E973" s="789">
        <f t="shared" ref="E973:E1029" si="91">IF(D973&gt;$J$968,$J$968,D973)</f>
        <v>392699.2542857143</v>
      </c>
      <c r="F973" s="789">
        <f t="shared" si="85"/>
        <v>12959075.391428573</v>
      </c>
      <c r="G973" s="736">
        <f t="shared" si="90"/>
        <v>13155425.018571429</v>
      </c>
      <c r="H973" s="794">
        <f>+J966*G973+E973</f>
        <v>2293708.5868566991</v>
      </c>
      <c r="I973" s="795">
        <f>+J967*G973+E973</f>
        <v>2293708.5868566991</v>
      </c>
      <c r="J973" s="792">
        <f t="shared" ref="J973:J1030" si="92">+I973-H973</f>
        <v>0</v>
      </c>
      <c r="K973" s="792"/>
      <c r="L973" s="812">
        <v>1769452</v>
      </c>
      <c r="M973" s="792">
        <f t="shared" si="86"/>
        <v>524256.58685669908</v>
      </c>
      <c r="N973" s="812">
        <v>1769452</v>
      </c>
      <c r="O973" s="792">
        <f t="shared" si="87"/>
        <v>524256.58685669908</v>
      </c>
      <c r="P973" s="792">
        <f t="shared" si="88"/>
        <v>0</v>
      </c>
    </row>
    <row r="974" spans="2:16">
      <c r="C974" s="788">
        <f>IF(D965="","-",+C973+1)</f>
        <v>2016</v>
      </c>
      <c r="D974" s="1321">
        <f t="shared" si="89"/>
        <v>12959075.391428573</v>
      </c>
      <c r="E974" s="789">
        <f t="shared" si="91"/>
        <v>392699.2542857143</v>
      </c>
      <c r="F974" s="789">
        <f t="shared" si="85"/>
        <v>12566376.137142859</v>
      </c>
      <c r="G974" s="736">
        <f t="shared" si="90"/>
        <v>12762725.764285717</v>
      </c>
      <c r="H974" s="794">
        <f>+J966*G974+E974</f>
        <v>2236962.0396157745</v>
      </c>
      <c r="I974" s="795">
        <f>+J967*G974+E974</f>
        <v>2236962.0396157745</v>
      </c>
      <c r="J974" s="792">
        <f t="shared" si="92"/>
        <v>0</v>
      </c>
      <c r="K974" s="792"/>
      <c r="L974" s="812">
        <v>1930442</v>
      </c>
      <c r="M974" s="792">
        <f t="shared" si="86"/>
        <v>306520.03961577453</v>
      </c>
      <c r="N974" s="812">
        <v>1930442</v>
      </c>
      <c r="O974" s="792">
        <f t="shared" si="87"/>
        <v>306520.03961577453</v>
      </c>
      <c r="P974" s="792">
        <f t="shared" si="88"/>
        <v>0</v>
      </c>
    </row>
    <row r="975" spans="2:16">
      <c r="C975" s="788">
        <f>IF(D965="","-",+C974+1)</f>
        <v>2017</v>
      </c>
      <c r="D975" s="1321">
        <f t="shared" si="89"/>
        <v>12566376.137142859</v>
      </c>
      <c r="E975" s="789">
        <f t="shared" si="91"/>
        <v>392699.2542857143</v>
      </c>
      <c r="F975" s="789">
        <f t="shared" si="85"/>
        <v>12173676.882857146</v>
      </c>
      <c r="G975" s="736">
        <f t="shared" si="90"/>
        <v>12370026.510000002</v>
      </c>
      <c r="H975" s="794">
        <f>+J966*G975+E975</f>
        <v>2180215.492374849</v>
      </c>
      <c r="I975" s="795">
        <f>+J967*G975+E975</f>
        <v>2180215.492374849</v>
      </c>
      <c r="J975" s="792">
        <f t="shared" si="92"/>
        <v>0</v>
      </c>
      <c r="K975" s="792"/>
      <c r="L975" s="812">
        <v>2311328</v>
      </c>
      <c r="M975" s="792">
        <f t="shared" si="86"/>
        <v>-131112.50762515096</v>
      </c>
      <c r="N975" s="812">
        <v>2311328</v>
      </c>
      <c r="O975" s="792">
        <f t="shared" si="87"/>
        <v>-131112.50762515096</v>
      </c>
      <c r="P975" s="792">
        <f t="shared" si="88"/>
        <v>0</v>
      </c>
    </row>
    <row r="976" spans="2:16">
      <c r="C976" s="788">
        <f>IF(D965="","-",+C975+1)</f>
        <v>2018</v>
      </c>
      <c r="D976" s="1402">
        <f t="shared" si="89"/>
        <v>12173676.882857146</v>
      </c>
      <c r="E976" s="789">
        <f t="shared" si="91"/>
        <v>392699.2542857143</v>
      </c>
      <c r="F976" s="789">
        <f t="shared" si="85"/>
        <v>11780977.628571432</v>
      </c>
      <c r="G976" s="736">
        <f t="shared" si="90"/>
        <v>11977327.25571429</v>
      </c>
      <c r="H976" s="794">
        <f>+J966*G976+E976</f>
        <v>2123468.9451339245</v>
      </c>
      <c r="I976" s="795">
        <f>+J967*G976+E976</f>
        <v>2123468.9451339245</v>
      </c>
      <c r="J976" s="792">
        <f t="shared" si="92"/>
        <v>0</v>
      </c>
      <c r="K976" s="792"/>
      <c r="L976" s="812">
        <v>2058707</v>
      </c>
      <c r="M976" s="792">
        <f t="shared" si="86"/>
        <v>64761.945133924484</v>
      </c>
      <c r="N976" s="812">
        <v>2058707</v>
      </c>
      <c r="O976" s="792">
        <f t="shared" si="87"/>
        <v>64761.945133924484</v>
      </c>
      <c r="P976" s="792">
        <f t="shared" si="88"/>
        <v>0</v>
      </c>
    </row>
    <row r="977" spans="3:16">
      <c r="C977" s="788">
        <f>IF(D965="","-",+C976+1)</f>
        <v>2019</v>
      </c>
      <c r="D977" s="1321">
        <f t="shared" si="89"/>
        <v>11780977.628571432</v>
      </c>
      <c r="E977" s="789">
        <f t="shared" si="91"/>
        <v>392699.2542857143</v>
      </c>
      <c r="F977" s="789">
        <f t="shared" si="85"/>
        <v>11388278.374285718</v>
      </c>
      <c r="G977" s="736">
        <f t="shared" si="90"/>
        <v>11584628.001428574</v>
      </c>
      <c r="H977" s="794">
        <f>+J966*G977+E977</f>
        <v>2066722.3978929997</v>
      </c>
      <c r="I977" s="795">
        <f>+J967*G977+E977</f>
        <v>2066722.3978929997</v>
      </c>
      <c r="J977" s="792">
        <f t="shared" si="92"/>
        <v>0</v>
      </c>
      <c r="K977" s="792"/>
      <c r="L977" s="812">
        <v>2106754.5162811661</v>
      </c>
      <c r="M977" s="792">
        <f t="shared" si="86"/>
        <v>-40032.118388166418</v>
      </c>
      <c r="N977" s="812">
        <v>2106754.5162811661</v>
      </c>
      <c r="O977" s="792">
        <f t="shared" si="87"/>
        <v>-40032.118388166418</v>
      </c>
      <c r="P977" s="792">
        <f t="shared" si="88"/>
        <v>0</v>
      </c>
    </row>
    <row r="978" spans="3:16">
      <c r="C978" s="788">
        <f>IF(D965="","-",+C977+1)</f>
        <v>2020</v>
      </c>
      <c r="D978" s="1321">
        <f t="shared" si="89"/>
        <v>11388278.374285718</v>
      </c>
      <c r="E978" s="789">
        <f t="shared" si="91"/>
        <v>392699.2542857143</v>
      </c>
      <c r="F978" s="789">
        <f t="shared" si="85"/>
        <v>10995579.120000005</v>
      </c>
      <c r="G978" s="736">
        <f t="shared" si="90"/>
        <v>11191928.747142863</v>
      </c>
      <c r="H978" s="794">
        <f>+J966*G978+E978</f>
        <v>2009975.8506520751</v>
      </c>
      <c r="I978" s="795">
        <f>+J967*G978+E978</f>
        <v>2009975.8506520751</v>
      </c>
      <c r="J978" s="792">
        <f t="shared" si="92"/>
        <v>0</v>
      </c>
      <c r="K978" s="792"/>
      <c r="L978" s="812">
        <v>2201768.4759260132</v>
      </c>
      <c r="M978" s="792">
        <f t="shared" si="86"/>
        <v>-191792.62527393806</v>
      </c>
      <c r="N978" s="812">
        <v>2201768.4759260132</v>
      </c>
      <c r="O978" s="792">
        <f t="shared" si="87"/>
        <v>-191792.62527393806</v>
      </c>
      <c r="P978" s="792">
        <f t="shared" si="88"/>
        <v>0</v>
      </c>
    </row>
    <row r="979" spans="3:16">
      <c r="C979" s="788">
        <f>IF(D965="","-",+C978+1)</f>
        <v>2021</v>
      </c>
      <c r="D979" s="736">
        <f t="shared" si="89"/>
        <v>10995579.120000005</v>
      </c>
      <c r="E979" s="789">
        <f t="shared" si="91"/>
        <v>392699.2542857143</v>
      </c>
      <c r="F979" s="789">
        <f t="shared" si="85"/>
        <v>10602879.865714291</v>
      </c>
      <c r="G979" s="736">
        <f t="shared" si="90"/>
        <v>10799229.492857147</v>
      </c>
      <c r="H979" s="794">
        <f>+J966*G979+E979</f>
        <v>1953229.3034111501</v>
      </c>
      <c r="I979" s="795">
        <f>+J967*G979+E979</f>
        <v>1953229.3034111501</v>
      </c>
      <c r="J979" s="792">
        <f t="shared" si="92"/>
        <v>0</v>
      </c>
      <c r="K979" s="792"/>
      <c r="L979" s="812">
        <v>1980992.0967942781</v>
      </c>
      <c r="M979" s="792">
        <f t="shared" si="86"/>
        <v>-27762.79338312801</v>
      </c>
      <c r="N979" s="812">
        <v>1980992.0967942781</v>
      </c>
      <c r="O979" s="792">
        <f t="shared" si="87"/>
        <v>-27762.79338312801</v>
      </c>
      <c r="P979" s="792">
        <f t="shared" si="88"/>
        <v>0</v>
      </c>
    </row>
    <row r="980" spans="3:16">
      <c r="C980" s="788">
        <f>IF(D965="","-",+C979+1)</f>
        <v>2022</v>
      </c>
      <c r="D980" s="736">
        <f t="shared" si="89"/>
        <v>10602879.865714291</v>
      </c>
      <c r="E980" s="789">
        <f t="shared" si="91"/>
        <v>392699.2542857143</v>
      </c>
      <c r="F980" s="789">
        <f t="shared" si="85"/>
        <v>10210180.611428577</v>
      </c>
      <c r="G980" s="736">
        <f t="shared" si="90"/>
        <v>10406530.238571435</v>
      </c>
      <c r="H980" s="794">
        <f>+J966*G980+E980</f>
        <v>1896482.7561702256</v>
      </c>
      <c r="I980" s="795">
        <f>+J967*G980+E980</f>
        <v>1896482.7561702256</v>
      </c>
      <c r="J980" s="792">
        <f t="shared" si="92"/>
        <v>0</v>
      </c>
      <c r="K980" s="792"/>
      <c r="L980" s="812">
        <v>1974403.4202263819</v>
      </c>
      <c r="M980" s="792">
        <f t="shared" si="86"/>
        <v>-77920.664056156296</v>
      </c>
      <c r="N980" s="812">
        <v>1974403.4202263819</v>
      </c>
      <c r="O980" s="792">
        <f t="shared" si="87"/>
        <v>-77920.664056156296</v>
      </c>
      <c r="P980" s="792">
        <f t="shared" si="88"/>
        <v>0</v>
      </c>
    </row>
    <row r="981" spans="3:16">
      <c r="C981" s="788">
        <f>IF(D965="","-",+C980+1)</f>
        <v>2023</v>
      </c>
      <c r="D981" s="736">
        <f t="shared" si="89"/>
        <v>10210180.611428577</v>
      </c>
      <c r="E981" s="789">
        <f t="shared" si="91"/>
        <v>392699.2542857143</v>
      </c>
      <c r="F981" s="789">
        <f t="shared" si="85"/>
        <v>9817481.3571428638</v>
      </c>
      <c r="G981" s="736">
        <f t="shared" si="90"/>
        <v>10013830.98428572</v>
      </c>
      <c r="H981" s="794">
        <f>+J966*G981+E981</f>
        <v>1839736.2089293005</v>
      </c>
      <c r="I981" s="795">
        <f>+J967*G981+E981</f>
        <v>1839736.2089293005</v>
      </c>
      <c r="J981" s="792">
        <f t="shared" si="92"/>
        <v>0</v>
      </c>
      <c r="K981" s="792"/>
      <c r="L981" s="812">
        <v>1920527.4167347513</v>
      </c>
      <c r="M981" s="792">
        <f t="shared" si="86"/>
        <v>-80791.207805450773</v>
      </c>
      <c r="N981" s="812">
        <v>1920527.4167347513</v>
      </c>
      <c r="O981" s="792">
        <f t="shared" si="87"/>
        <v>-80791.207805450773</v>
      </c>
      <c r="P981" s="792">
        <f t="shared" si="88"/>
        <v>0</v>
      </c>
    </row>
    <row r="982" spans="3:16">
      <c r="C982" s="788">
        <f>IF(D965="","-",+C981+1)</f>
        <v>2024</v>
      </c>
      <c r="D982" s="736">
        <f t="shared" si="89"/>
        <v>9817481.3571428638</v>
      </c>
      <c r="E982" s="789">
        <f t="shared" si="91"/>
        <v>392699.2542857143</v>
      </c>
      <c r="F982" s="789">
        <f t="shared" si="85"/>
        <v>9424782.1028571501</v>
      </c>
      <c r="G982" s="736">
        <f t="shared" si="90"/>
        <v>9621131.7300000079</v>
      </c>
      <c r="H982" s="794">
        <f>+J966*G982+E982</f>
        <v>1782989.661688376</v>
      </c>
      <c r="I982" s="795">
        <f>+J967*G982+E982</f>
        <v>1782989.661688376</v>
      </c>
      <c r="J982" s="792">
        <f t="shared" si="92"/>
        <v>0</v>
      </c>
      <c r="K982" s="792"/>
      <c r="L982" s="812"/>
      <c r="M982" s="792">
        <f t="shared" si="86"/>
        <v>0</v>
      </c>
      <c r="N982" s="812"/>
      <c r="O982" s="792">
        <f t="shared" si="87"/>
        <v>0</v>
      </c>
      <c r="P982" s="792">
        <f t="shared" si="88"/>
        <v>0</v>
      </c>
    </row>
    <row r="983" spans="3:16">
      <c r="C983" s="788">
        <f>IF(D965="","-",+C982+1)</f>
        <v>2025</v>
      </c>
      <c r="D983" s="736">
        <f t="shared" si="89"/>
        <v>9424782.1028571501</v>
      </c>
      <c r="E983" s="789">
        <f t="shared" si="91"/>
        <v>392699.2542857143</v>
      </c>
      <c r="F983" s="789">
        <f t="shared" si="85"/>
        <v>9032082.8485714365</v>
      </c>
      <c r="G983" s="736">
        <f t="shared" si="90"/>
        <v>9228432.4757142924</v>
      </c>
      <c r="H983" s="794">
        <f>+J966*G983+E983</f>
        <v>1726243.1144474507</v>
      </c>
      <c r="I983" s="795">
        <f>+J967*G983+E983</f>
        <v>1726243.1144474507</v>
      </c>
      <c r="J983" s="792">
        <f t="shared" si="92"/>
        <v>0</v>
      </c>
      <c r="K983" s="792"/>
      <c r="L983" s="812"/>
      <c r="M983" s="792">
        <f t="shared" si="86"/>
        <v>0</v>
      </c>
      <c r="N983" s="812"/>
      <c r="O983" s="792">
        <f t="shared" si="87"/>
        <v>0</v>
      </c>
      <c r="P983" s="792">
        <f t="shared" si="88"/>
        <v>0</v>
      </c>
    </row>
    <row r="984" spans="3:16">
      <c r="C984" s="788">
        <f>IF(D965="","-",+C983+1)</f>
        <v>2026</v>
      </c>
      <c r="D984" s="736">
        <f t="shared" si="89"/>
        <v>9032082.8485714365</v>
      </c>
      <c r="E984" s="789">
        <f t="shared" si="91"/>
        <v>392699.2542857143</v>
      </c>
      <c r="F984" s="789">
        <f t="shared" si="85"/>
        <v>8639383.5942857228</v>
      </c>
      <c r="G984" s="736">
        <f t="shared" si="90"/>
        <v>8835733.2214285806</v>
      </c>
      <c r="H984" s="794">
        <f>+J966*G984+E984</f>
        <v>1669496.5672065262</v>
      </c>
      <c r="I984" s="795">
        <f>+J967*G984+E984</f>
        <v>1669496.5672065262</v>
      </c>
      <c r="J984" s="792">
        <f t="shared" si="92"/>
        <v>0</v>
      </c>
      <c r="K984" s="792"/>
      <c r="L984" s="812"/>
      <c r="M984" s="792">
        <f t="shared" si="86"/>
        <v>0</v>
      </c>
      <c r="N984" s="812"/>
      <c r="O984" s="792">
        <f t="shared" si="87"/>
        <v>0</v>
      </c>
      <c r="P984" s="792">
        <f t="shared" si="88"/>
        <v>0</v>
      </c>
    </row>
    <row r="985" spans="3:16">
      <c r="C985" s="788">
        <f>IF(D965="","-",+C984+1)</f>
        <v>2027</v>
      </c>
      <c r="D985" s="736">
        <f t="shared" si="89"/>
        <v>8639383.5942857228</v>
      </c>
      <c r="E985" s="789">
        <f t="shared" si="91"/>
        <v>392699.2542857143</v>
      </c>
      <c r="F985" s="789">
        <f t="shared" si="85"/>
        <v>8246684.3400000082</v>
      </c>
      <c r="G985" s="736">
        <f t="shared" si="90"/>
        <v>8443033.9671428651</v>
      </c>
      <c r="H985" s="794">
        <f>+J966*G985+E985</f>
        <v>1612750.0199656012</v>
      </c>
      <c r="I985" s="795">
        <f>+J967*G985+E985</f>
        <v>1612750.0199656012</v>
      </c>
      <c r="J985" s="792">
        <f t="shared" si="92"/>
        <v>0</v>
      </c>
      <c r="K985" s="792"/>
      <c r="L985" s="812"/>
      <c r="M985" s="792">
        <f t="shared" si="86"/>
        <v>0</v>
      </c>
      <c r="N985" s="812"/>
      <c r="O985" s="792">
        <f t="shared" si="87"/>
        <v>0</v>
      </c>
      <c r="P985" s="792">
        <f t="shared" si="88"/>
        <v>0</v>
      </c>
    </row>
    <row r="986" spans="3:16">
      <c r="C986" s="788">
        <f>IF(D965="","-",+C985+1)</f>
        <v>2028</v>
      </c>
      <c r="D986" s="736">
        <f t="shared" si="89"/>
        <v>8246684.3400000082</v>
      </c>
      <c r="E986" s="789">
        <f t="shared" si="91"/>
        <v>392699.2542857143</v>
      </c>
      <c r="F986" s="789">
        <f t="shared" si="85"/>
        <v>7853985.0857142936</v>
      </c>
      <c r="G986" s="736">
        <f t="shared" si="90"/>
        <v>8050334.7128571514</v>
      </c>
      <c r="H986" s="794">
        <f>+J966*G986+E986</f>
        <v>1556003.4727246764</v>
      </c>
      <c r="I986" s="795">
        <f>+J967*G986+E986</f>
        <v>1556003.4727246764</v>
      </c>
      <c r="J986" s="792">
        <f t="shared" si="92"/>
        <v>0</v>
      </c>
      <c r="K986" s="792"/>
      <c r="L986" s="812"/>
      <c r="M986" s="792">
        <f t="shared" si="86"/>
        <v>0</v>
      </c>
      <c r="N986" s="812"/>
      <c r="O986" s="792">
        <f t="shared" si="87"/>
        <v>0</v>
      </c>
      <c r="P986" s="792">
        <f t="shared" si="88"/>
        <v>0</v>
      </c>
    </row>
    <row r="987" spans="3:16">
      <c r="C987" s="788">
        <f>IF(D965="","-",+C986+1)</f>
        <v>2029</v>
      </c>
      <c r="D987" s="736">
        <f t="shared" si="89"/>
        <v>7853985.0857142936</v>
      </c>
      <c r="E987" s="789">
        <f t="shared" si="91"/>
        <v>392699.2542857143</v>
      </c>
      <c r="F987" s="789">
        <f t="shared" si="85"/>
        <v>7461285.8314285791</v>
      </c>
      <c r="G987" s="736">
        <f t="shared" si="90"/>
        <v>7657635.4585714359</v>
      </c>
      <c r="H987" s="794">
        <f>+J966*G987+E987</f>
        <v>1499256.9254837511</v>
      </c>
      <c r="I987" s="795">
        <f>+J967*G987+E987</f>
        <v>1499256.9254837511</v>
      </c>
      <c r="J987" s="792">
        <f t="shared" si="92"/>
        <v>0</v>
      </c>
      <c r="K987" s="792"/>
      <c r="L987" s="812"/>
      <c r="M987" s="792">
        <f t="shared" si="86"/>
        <v>0</v>
      </c>
      <c r="N987" s="812"/>
      <c r="O987" s="792">
        <f t="shared" si="87"/>
        <v>0</v>
      </c>
      <c r="P987" s="792">
        <f t="shared" si="88"/>
        <v>0</v>
      </c>
    </row>
    <row r="988" spans="3:16">
      <c r="C988" s="788">
        <f>IF(D965="","-",+C987+1)</f>
        <v>2030</v>
      </c>
      <c r="D988" s="736">
        <f t="shared" si="89"/>
        <v>7461285.8314285791</v>
      </c>
      <c r="E988" s="789">
        <f t="shared" si="91"/>
        <v>392699.2542857143</v>
      </c>
      <c r="F988" s="789">
        <f t="shared" si="85"/>
        <v>7068586.5771428645</v>
      </c>
      <c r="G988" s="736">
        <f t="shared" si="90"/>
        <v>7264936.2042857222</v>
      </c>
      <c r="H988" s="794">
        <f>+J966*G988+E988</f>
        <v>1442510.3782428263</v>
      </c>
      <c r="I988" s="795">
        <f>+J967*G988+E988</f>
        <v>1442510.3782428263</v>
      </c>
      <c r="J988" s="792">
        <f t="shared" si="92"/>
        <v>0</v>
      </c>
      <c r="K988" s="792"/>
      <c r="L988" s="812"/>
      <c r="M988" s="792">
        <f t="shared" si="86"/>
        <v>0</v>
      </c>
      <c r="N988" s="812"/>
      <c r="O988" s="792">
        <f t="shared" si="87"/>
        <v>0</v>
      </c>
      <c r="P988" s="792">
        <f t="shared" si="88"/>
        <v>0</v>
      </c>
    </row>
    <row r="989" spans="3:16">
      <c r="C989" s="788">
        <f>IF(D965="","-",+C988+1)</f>
        <v>2031</v>
      </c>
      <c r="D989" s="736">
        <f t="shared" si="89"/>
        <v>7068586.5771428645</v>
      </c>
      <c r="E989" s="789">
        <f t="shared" si="91"/>
        <v>392699.2542857143</v>
      </c>
      <c r="F989" s="789">
        <f t="shared" si="85"/>
        <v>6675887.3228571499</v>
      </c>
      <c r="G989" s="736">
        <f t="shared" si="90"/>
        <v>6872236.9500000067</v>
      </c>
      <c r="H989" s="794">
        <f>+J966*G989+E989</f>
        <v>1385763.8310019013</v>
      </c>
      <c r="I989" s="795">
        <f>+J967*G989+E989</f>
        <v>1385763.8310019013</v>
      </c>
      <c r="J989" s="792">
        <f t="shared" si="92"/>
        <v>0</v>
      </c>
      <c r="K989" s="792"/>
      <c r="L989" s="812"/>
      <c r="M989" s="792">
        <f t="shared" si="86"/>
        <v>0</v>
      </c>
      <c r="N989" s="812"/>
      <c r="O989" s="792">
        <f t="shared" si="87"/>
        <v>0</v>
      </c>
      <c r="P989" s="792">
        <f t="shared" si="88"/>
        <v>0</v>
      </c>
    </row>
    <row r="990" spans="3:16">
      <c r="C990" s="788">
        <f>IF(D965="","-",+C989+1)</f>
        <v>2032</v>
      </c>
      <c r="D990" s="736">
        <f t="shared" si="89"/>
        <v>6675887.3228571499</v>
      </c>
      <c r="E990" s="789">
        <f t="shared" si="91"/>
        <v>392699.2542857143</v>
      </c>
      <c r="F990" s="789">
        <f t="shared" si="85"/>
        <v>6283188.0685714353</v>
      </c>
      <c r="G990" s="736">
        <f t="shared" si="90"/>
        <v>6479537.695714293</v>
      </c>
      <c r="H990" s="794">
        <f>+J966*G990+E990</f>
        <v>1329017.2837609765</v>
      </c>
      <c r="I990" s="795">
        <f>+J967*G990+E990</f>
        <v>1329017.2837609765</v>
      </c>
      <c r="J990" s="792">
        <f t="shared" si="92"/>
        <v>0</v>
      </c>
      <c r="K990" s="792"/>
      <c r="L990" s="812"/>
      <c r="M990" s="792">
        <f t="shared" si="86"/>
        <v>0</v>
      </c>
      <c r="N990" s="812"/>
      <c r="O990" s="792">
        <f t="shared" si="87"/>
        <v>0</v>
      </c>
      <c r="P990" s="792">
        <f t="shared" si="88"/>
        <v>0</v>
      </c>
    </row>
    <row r="991" spans="3:16">
      <c r="C991" s="788">
        <f>IF(D965="","-",+C990+1)</f>
        <v>2033</v>
      </c>
      <c r="D991" s="736">
        <f t="shared" si="89"/>
        <v>6283188.0685714353</v>
      </c>
      <c r="E991" s="789">
        <f t="shared" si="91"/>
        <v>392699.2542857143</v>
      </c>
      <c r="F991" s="789">
        <f t="shared" si="85"/>
        <v>5890488.8142857207</v>
      </c>
      <c r="G991" s="736">
        <f t="shared" si="90"/>
        <v>6086838.4414285775</v>
      </c>
      <c r="H991" s="794">
        <f>+J966*G991+E991</f>
        <v>1272270.7365200513</v>
      </c>
      <c r="I991" s="795">
        <f>+J967*G991+E991</f>
        <v>1272270.7365200513</v>
      </c>
      <c r="J991" s="792">
        <f t="shared" si="92"/>
        <v>0</v>
      </c>
      <c r="K991" s="792"/>
      <c r="L991" s="812"/>
      <c r="M991" s="792">
        <f t="shared" si="86"/>
        <v>0</v>
      </c>
      <c r="N991" s="812"/>
      <c r="O991" s="792">
        <f t="shared" si="87"/>
        <v>0</v>
      </c>
      <c r="P991" s="792">
        <f t="shared" si="88"/>
        <v>0</v>
      </c>
    </row>
    <row r="992" spans="3:16">
      <c r="C992" s="788">
        <f>IF(D965="","-",+C991+1)</f>
        <v>2034</v>
      </c>
      <c r="D992" s="736">
        <f t="shared" si="89"/>
        <v>5890488.8142857207</v>
      </c>
      <c r="E992" s="789">
        <f t="shared" si="91"/>
        <v>392699.2542857143</v>
      </c>
      <c r="F992" s="789">
        <f t="shared" si="85"/>
        <v>5497789.5600000061</v>
      </c>
      <c r="G992" s="736">
        <f t="shared" si="90"/>
        <v>5694139.1871428639</v>
      </c>
      <c r="H992" s="794">
        <f>+J966*G992+E992</f>
        <v>1215524.1892791265</v>
      </c>
      <c r="I992" s="795">
        <f>+J967*G992+E992</f>
        <v>1215524.1892791265</v>
      </c>
      <c r="J992" s="792">
        <f t="shared" si="92"/>
        <v>0</v>
      </c>
      <c r="K992" s="792"/>
      <c r="L992" s="812"/>
      <c r="M992" s="792">
        <f t="shared" si="86"/>
        <v>0</v>
      </c>
      <c r="N992" s="812"/>
      <c r="O992" s="792">
        <f t="shared" si="87"/>
        <v>0</v>
      </c>
      <c r="P992" s="792">
        <f t="shared" si="88"/>
        <v>0</v>
      </c>
    </row>
    <row r="993" spans="3:16">
      <c r="C993" s="788">
        <f>IF(D965="","-",+C992+1)</f>
        <v>2035</v>
      </c>
      <c r="D993" s="736">
        <f t="shared" si="89"/>
        <v>5497789.5600000061</v>
      </c>
      <c r="E993" s="789">
        <f t="shared" si="91"/>
        <v>392699.2542857143</v>
      </c>
      <c r="F993" s="789">
        <f t="shared" si="85"/>
        <v>5105090.3057142915</v>
      </c>
      <c r="G993" s="736">
        <f t="shared" si="90"/>
        <v>5301439.9328571483</v>
      </c>
      <c r="H993" s="794">
        <f>+J966*G993+E993</f>
        <v>1158777.6420382014</v>
      </c>
      <c r="I993" s="795">
        <f>+J967*G993+E993</f>
        <v>1158777.6420382014</v>
      </c>
      <c r="J993" s="792">
        <f t="shared" si="92"/>
        <v>0</v>
      </c>
      <c r="K993" s="792"/>
      <c r="L993" s="812"/>
      <c r="M993" s="792">
        <f t="shared" si="86"/>
        <v>0</v>
      </c>
      <c r="N993" s="812"/>
      <c r="O993" s="792">
        <f t="shared" si="87"/>
        <v>0</v>
      </c>
      <c r="P993" s="792">
        <f t="shared" si="88"/>
        <v>0</v>
      </c>
    </row>
    <row r="994" spans="3:16">
      <c r="C994" s="788">
        <f>IF(D965="","-",+C993+1)</f>
        <v>2036</v>
      </c>
      <c r="D994" s="736">
        <f t="shared" si="89"/>
        <v>5105090.3057142915</v>
      </c>
      <c r="E994" s="789">
        <f t="shared" si="91"/>
        <v>392699.2542857143</v>
      </c>
      <c r="F994" s="789">
        <f t="shared" si="85"/>
        <v>4712391.0514285769</v>
      </c>
      <c r="G994" s="736">
        <f t="shared" si="90"/>
        <v>4908740.6785714347</v>
      </c>
      <c r="H994" s="794">
        <f>+J966*G994+E994</f>
        <v>1102031.0947972767</v>
      </c>
      <c r="I994" s="795">
        <f>+J967*G994+E994</f>
        <v>1102031.0947972767</v>
      </c>
      <c r="J994" s="792">
        <f t="shared" si="92"/>
        <v>0</v>
      </c>
      <c r="K994" s="792"/>
      <c r="L994" s="812"/>
      <c r="M994" s="792">
        <f t="shared" si="86"/>
        <v>0</v>
      </c>
      <c r="N994" s="812"/>
      <c r="O994" s="792">
        <f t="shared" si="87"/>
        <v>0</v>
      </c>
      <c r="P994" s="792">
        <f t="shared" si="88"/>
        <v>0</v>
      </c>
    </row>
    <row r="995" spans="3:16">
      <c r="C995" s="788">
        <f>IF(D965="","-",+C994+1)</f>
        <v>2037</v>
      </c>
      <c r="D995" s="736">
        <f t="shared" si="89"/>
        <v>4712391.0514285769</v>
      </c>
      <c r="E995" s="789">
        <f t="shared" si="91"/>
        <v>392699.2542857143</v>
      </c>
      <c r="F995" s="789">
        <f t="shared" si="85"/>
        <v>4319691.7971428623</v>
      </c>
      <c r="G995" s="736">
        <f t="shared" si="90"/>
        <v>4516041.4242857192</v>
      </c>
      <c r="H995" s="794">
        <f>+J966*G995+E995</f>
        <v>1045284.5475563514</v>
      </c>
      <c r="I995" s="795">
        <f>+J967*G995+E995</f>
        <v>1045284.5475563514</v>
      </c>
      <c r="J995" s="792">
        <f t="shared" si="92"/>
        <v>0</v>
      </c>
      <c r="K995" s="792"/>
      <c r="L995" s="812"/>
      <c r="M995" s="792">
        <f t="shared" si="86"/>
        <v>0</v>
      </c>
      <c r="N995" s="812"/>
      <c r="O995" s="792">
        <f t="shared" si="87"/>
        <v>0</v>
      </c>
      <c r="P995" s="792">
        <f t="shared" si="88"/>
        <v>0</v>
      </c>
    </row>
    <row r="996" spans="3:16">
      <c r="C996" s="788">
        <f>IF(D965="","-",+C995+1)</f>
        <v>2038</v>
      </c>
      <c r="D996" s="736">
        <f t="shared" si="89"/>
        <v>4319691.7971428623</v>
      </c>
      <c r="E996" s="789">
        <f t="shared" si="91"/>
        <v>392699.2542857143</v>
      </c>
      <c r="F996" s="789">
        <f t="shared" si="85"/>
        <v>3926992.5428571482</v>
      </c>
      <c r="G996" s="736">
        <f t="shared" si="90"/>
        <v>4123342.1700000055</v>
      </c>
      <c r="H996" s="794">
        <f>+J966*G996+E996</f>
        <v>988538.00031542662</v>
      </c>
      <c r="I996" s="795">
        <f>+J967*G996+E996</f>
        <v>988538.00031542662</v>
      </c>
      <c r="J996" s="792">
        <f t="shared" si="92"/>
        <v>0</v>
      </c>
      <c r="K996" s="792"/>
      <c r="L996" s="812"/>
      <c r="M996" s="792">
        <f t="shared" si="86"/>
        <v>0</v>
      </c>
      <c r="N996" s="812"/>
      <c r="O996" s="792">
        <f t="shared" si="87"/>
        <v>0</v>
      </c>
      <c r="P996" s="792">
        <f t="shared" si="88"/>
        <v>0</v>
      </c>
    </row>
    <row r="997" spans="3:16">
      <c r="C997" s="788">
        <f>IF(D965="","-",+C996+1)</f>
        <v>2039</v>
      </c>
      <c r="D997" s="736">
        <f t="shared" si="89"/>
        <v>3926992.5428571482</v>
      </c>
      <c r="E997" s="789">
        <f t="shared" si="91"/>
        <v>392699.2542857143</v>
      </c>
      <c r="F997" s="789">
        <f t="shared" si="85"/>
        <v>3534293.2885714341</v>
      </c>
      <c r="G997" s="736">
        <f t="shared" si="90"/>
        <v>3730642.9157142909</v>
      </c>
      <c r="H997" s="794">
        <f>+J966*G997+E997</f>
        <v>931791.45307450183</v>
      </c>
      <c r="I997" s="795">
        <f>+J967*G997+E997</f>
        <v>931791.45307450183</v>
      </c>
      <c r="J997" s="792">
        <f t="shared" si="92"/>
        <v>0</v>
      </c>
      <c r="K997" s="792"/>
      <c r="L997" s="812"/>
      <c r="M997" s="792">
        <f t="shared" si="86"/>
        <v>0</v>
      </c>
      <c r="N997" s="812"/>
      <c r="O997" s="792">
        <f t="shared" si="87"/>
        <v>0</v>
      </c>
      <c r="P997" s="792">
        <f t="shared" si="88"/>
        <v>0</v>
      </c>
    </row>
    <row r="998" spans="3:16">
      <c r="C998" s="788">
        <f>IF(D965="","-",+C997+1)</f>
        <v>2040</v>
      </c>
      <c r="D998" s="736">
        <f t="shared" si="89"/>
        <v>3534293.2885714341</v>
      </c>
      <c r="E998" s="789">
        <f t="shared" si="91"/>
        <v>392699.2542857143</v>
      </c>
      <c r="F998" s="789">
        <f t="shared" si="85"/>
        <v>3141594.03428572</v>
      </c>
      <c r="G998" s="736">
        <f t="shared" si="90"/>
        <v>3337943.6614285773</v>
      </c>
      <c r="H998" s="794">
        <f>+J966*G998+E998</f>
        <v>875044.90583357692</v>
      </c>
      <c r="I998" s="795">
        <f>+J967*G998+E998</f>
        <v>875044.90583357692</v>
      </c>
      <c r="J998" s="792">
        <f t="shared" si="92"/>
        <v>0</v>
      </c>
      <c r="K998" s="792"/>
      <c r="L998" s="812"/>
      <c r="M998" s="792">
        <f t="shared" si="86"/>
        <v>0</v>
      </c>
      <c r="N998" s="812"/>
      <c r="O998" s="792">
        <f t="shared" si="87"/>
        <v>0</v>
      </c>
      <c r="P998" s="792">
        <f t="shared" si="88"/>
        <v>0</v>
      </c>
    </row>
    <row r="999" spans="3:16">
      <c r="C999" s="788">
        <f>IF(D965="","-",+C998+1)</f>
        <v>2041</v>
      </c>
      <c r="D999" s="736">
        <f t="shared" si="89"/>
        <v>3141594.03428572</v>
      </c>
      <c r="E999" s="789">
        <f t="shared" si="91"/>
        <v>392699.2542857143</v>
      </c>
      <c r="F999" s="789">
        <f t="shared" si="85"/>
        <v>2748894.7800000058</v>
      </c>
      <c r="G999" s="736">
        <f t="shared" si="90"/>
        <v>2945244.4071428627</v>
      </c>
      <c r="H999" s="794">
        <f>+J966*G999+E999</f>
        <v>818298.35859265202</v>
      </c>
      <c r="I999" s="795">
        <f>+J967*G999+E999</f>
        <v>818298.35859265202</v>
      </c>
      <c r="J999" s="792">
        <f t="shared" si="92"/>
        <v>0</v>
      </c>
      <c r="K999" s="792"/>
      <c r="L999" s="812"/>
      <c r="M999" s="792">
        <f t="shared" si="86"/>
        <v>0</v>
      </c>
      <c r="N999" s="812"/>
      <c r="O999" s="792">
        <f t="shared" si="87"/>
        <v>0</v>
      </c>
      <c r="P999" s="792">
        <f t="shared" si="88"/>
        <v>0</v>
      </c>
    </row>
    <row r="1000" spans="3:16">
      <c r="C1000" s="788">
        <f>IF(D965="","-",+C999+1)</f>
        <v>2042</v>
      </c>
      <c r="D1000" s="736">
        <f t="shared" si="89"/>
        <v>2748894.7800000058</v>
      </c>
      <c r="E1000" s="789">
        <f t="shared" si="91"/>
        <v>392699.2542857143</v>
      </c>
      <c r="F1000" s="789">
        <f t="shared" si="85"/>
        <v>2356195.5257142917</v>
      </c>
      <c r="G1000" s="736">
        <f t="shared" si="90"/>
        <v>2552545.152857149</v>
      </c>
      <c r="H1000" s="794">
        <f>+J966*G1000+E1000</f>
        <v>761551.81135172711</v>
      </c>
      <c r="I1000" s="795">
        <f>+J967*G1000+E1000</f>
        <v>761551.81135172711</v>
      </c>
      <c r="J1000" s="792">
        <f t="shared" si="92"/>
        <v>0</v>
      </c>
      <c r="K1000" s="792"/>
      <c r="L1000" s="812"/>
      <c r="M1000" s="792">
        <f t="shared" si="86"/>
        <v>0</v>
      </c>
      <c r="N1000" s="812"/>
      <c r="O1000" s="792">
        <f t="shared" si="87"/>
        <v>0</v>
      </c>
      <c r="P1000" s="792">
        <f t="shared" si="88"/>
        <v>0</v>
      </c>
    </row>
    <row r="1001" spans="3:16">
      <c r="C1001" s="788">
        <f>IF(D965="","-",+C1000+1)</f>
        <v>2043</v>
      </c>
      <c r="D1001" s="736">
        <f t="shared" si="89"/>
        <v>2356195.5257142917</v>
      </c>
      <c r="E1001" s="789">
        <f t="shared" si="91"/>
        <v>392699.2542857143</v>
      </c>
      <c r="F1001" s="789">
        <f t="shared" si="85"/>
        <v>1963496.2714285774</v>
      </c>
      <c r="G1001" s="736">
        <f t="shared" si="90"/>
        <v>2159845.8985714344</v>
      </c>
      <c r="H1001" s="794">
        <f>+J966*G1001+E1001</f>
        <v>704805.26411080221</v>
      </c>
      <c r="I1001" s="795">
        <f>+J967*G1001+E1001</f>
        <v>704805.26411080221</v>
      </c>
      <c r="J1001" s="792">
        <f t="shared" si="92"/>
        <v>0</v>
      </c>
      <c r="K1001" s="792"/>
      <c r="L1001" s="812"/>
      <c r="M1001" s="792">
        <f t="shared" si="86"/>
        <v>0</v>
      </c>
      <c r="N1001" s="812"/>
      <c r="O1001" s="792">
        <f t="shared" si="87"/>
        <v>0</v>
      </c>
      <c r="P1001" s="792">
        <f t="shared" si="88"/>
        <v>0</v>
      </c>
    </row>
    <row r="1002" spans="3:16">
      <c r="C1002" s="788">
        <f>IF(D965="","-",+C1001+1)</f>
        <v>2044</v>
      </c>
      <c r="D1002" s="736">
        <f t="shared" si="89"/>
        <v>1963496.2714285774</v>
      </c>
      <c r="E1002" s="789">
        <f t="shared" si="91"/>
        <v>392699.2542857143</v>
      </c>
      <c r="F1002" s="789">
        <f t="shared" si="85"/>
        <v>1570797.017142863</v>
      </c>
      <c r="G1002" s="736">
        <f t="shared" si="90"/>
        <v>1767146.6442857203</v>
      </c>
      <c r="H1002" s="794">
        <f>+J966*G1002+E1002</f>
        <v>648058.7168698773</v>
      </c>
      <c r="I1002" s="795">
        <f>+J967*G1002+E1002</f>
        <v>648058.7168698773</v>
      </c>
      <c r="J1002" s="792">
        <f t="shared" si="92"/>
        <v>0</v>
      </c>
      <c r="K1002" s="792"/>
      <c r="L1002" s="812"/>
      <c r="M1002" s="792">
        <f t="shared" si="86"/>
        <v>0</v>
      </c>
      <c r="N1002" s="812"/>
      <c r="O1002" s="792">
        <f t="shared" si="87"/>
        <v>0</v>
      </c>
      <c r="P1002" s="792">
        <f t="shared" si="88"/>
        <v>0</v>
      </c>
    </row>
    <row r="1003" spans="3:16">
      <c r="C1003" s="788">
        <f>IF(D965="","-",+C1002+1)</f>
        <v>2045</v>
      </c>
      <c r="D1003" s="736">
        <f t="shared" si="89"/>
        <v>1570797.017142863</v>
      </c>
      <c r="E1003" s="789">
        <f t="shared" si="91"/>
        <v>392699.2542857143</v>
      </c>
      <c r="F1003" s="789">
        <f t="shared" si="85"/>
        <v>1178097.7628571487</v>
      </c>
      <c r="G1003" s="736">
        <f t="shared" si="90"/>
        <v>1374447.3900000057</v>
      </c>
      <c r="H1003" s="794">
        <f>+J966*G1003+E1003</f>
        <v>591312.16962895228</v>
      </c>
      <c r="I1003" s="795">
        <f>+J967*G1003+E1003</f>
        <v>591312.16962895228</v>
      </c>
      <c r="J1003" s="792">
        <f t="shared" si="92"/>
        <v>0</v>
      </c>
      <c r="K1003" s="792"/>
      <c r="L1003" s="812"/>
      <c r="M1003" s="792">
        <f t="shared" si="86"/>
        <v>0</v>
      </c>
      <c r="N1003" s="812"/>
      <c r="O1003" s="792">
        <f t="shared" si="87"/>
        <v>0</v>
      </c>
      <c r="P1003" s="792">
        <f t="shared" si="88"/>
        <v>0</v>
      </c>
    </row>
    <row r="1004" spans="3:16">
      <c r="C1004" s="788">
        <f>IF(D965="","-",+C1003+1)</f>
        <v>2046</v>
      </c>
      <c r="D1004" s="736">
        <f t="shared" si="89"/>
        <v>1178097.7628571487</v>
      </c>
      <c r="E1004" s="789">
        <f t="shared" si="91"/>
        <v>392699.2542857143</v>
      </c>
      <c r="F1004" s="789">
        <f t="shared" si="85"/>
        <v>785398.5085714343</v>
      </c>
      <c r="G1004" s="736">
        <f t="shared" si="90"/>
        <v>981748.13571429148</v>
      </c>
      <c r="H1004" s="794">
        <f>+J966*G1004+E1004</f>
        <v>534565.62238802738</v>
      </c>
      <c r="I1004" s="795">
        <f>+J967*G1004+E1004</f>
        <v>534565.62238802738</v>
      </c>
      <c r="J1004" s="792">
        <f t="shared" si="92"/>
        <v>0</v>
      </c>
      <c r="K1004" s="792"/>
      <c r="L1004" s="812"/>
      <c r="M1004" s="792">
        <f t="shared" si="86"/>
        <v>0</v>
      </c>
      <c r="N1004" s="812"/>
      <c r="O1004" s="792">
        <f t="shared" si="87"/>
        <v>0</v>
      </c>
      <c r="P1004" s="792">
        <f t="shared" si="88"/>
        <v>0</v>
      </c>
    </row>
    <row r="1005" spans="3:16">
      <c r="C1005" s="788">
        <f>IF(D965="","-",+C1004+1)</f>
        <v>2047</v>
      </c>
      <c r="D1005" s="736">
        <f t="shared" si="89"/>
        <v>785398.5085714343</v>
      </c>
      <c r="E1005" s="789">
        <f t="shared" si="91"/>
        <v>392699.2542857143</v>
      </c>
      <c r="F1005" s="789">
        <f t="shared" si="85"/>
        <v>392699.25428572</v>
      </c>
      <c r="G1005" s="736">
        <f t="shared" si="90"/>
        <v>589048.88142857712</v>
      </c>
      <c r="H1005" s="794">
        <f>+J966*G1005+E1005</f>
        <v>477819.07514710247</v>
      </c>
      <c r="I1005" s="795">
        <f>+J967*G1005+E1005</f>
        <v>477819.07514710247</v>
      </c>
      <c r="J1005" s="792">
        <f t="shared" si="92"/>
        <v>0</v>
      </c>
      <c r="K1005" s="792"/>
      <c r="L1005" s="812"/>
      <c r="M1005" s="792">
        <f t="shared" si="86"/>
        <v>0</v>
      </c>
      <c r="N1005" s="812"/>
      <c r="O1005" s="792">
        <f t="shared" si="87"/>
        <v>0</v>
      </c>
      <c r="P1005" s="792">
        <f t="shared" si="88"/>
        <v>0</v>
      </c>
    </row>
    <row r="1006" spans="3:16">
      <c r="C1006" s="788">
        <f>IF(D965="","-",+C1005+1)</f>
        <v>2048</v>
      </c>
      <c r="D1006" s="736">
        <f t="shared" si="89"/>
        <v>392699.25428572</v>
      </c>
      <c r="E1006" s="789">
        <f t="shared" si="91"/>
        <v>392699.2542857143</v>
      </c>
      <c r="F1006" s="789">
        <f t="shared" si="85"/>
        <v>5.7043507695198059E-9</v>
      </c>
      <c r="G1006" s="736">
        <f t="shared" si="90"/>
        <v>196349.62714286285</v>
      </c>
      <c r="H1006" s="794">
        <f>+J966*G1006+E1006</f>
        <v>421072.52790617757</v>
      </c>
      <c r="I1006" s="795">
        <f>+J967*G1006+E1006</f>
        <v>421072.52790617757</v>
      </c>
      <c r="J1006" s="792">
        <f t="shared" si="92"/>
        <v>0</v>
      </c>
      <c r="K1006" s="792"/>
      <c r="L1006" s="812"/>
      <c r="M1006" s="792">
        <f t="shared" si="86"/>
        <v>0</v>
      </c>
      <c r="N1006" s="812"/>
      <c r="O1006" s="792">
        <f t="shared" si="87"/>
        <v>0</v>
      </c>
      <c r="P1006" s="792">
        <f t="shared" si="88"/>
        <v>0</v>
      </c>
    </row>
    <row r="1007" spans="3:16">
      <c r="C1007" s="788">
        <f>IF(D965="","-",+C1006+1)</f>
        <v>2049</v>
      </c>
      <c r="D1007" s="736">
        <f t="shared" si="89"/>
        <v>5.7043507695198059E-9</v>
      </c>
      <c r="E1007" s="789">
        <f t="shared" si="91"/>
        <v>5.7043507695198059E-9</v>
      </c>
      <c r="F1007" s="789">
        <f t="shared" si="85"/>
        <v>0</v>
      </c>
      <c r="G1007" s="736">
        <f t="shared" si="90"/>
        <v>2.852175384759903E-9</v>
      </c>
      <c r="H1007" s="794">
        <f>+J966*G1007+E1007</f>
        <v>6.1165010434108886E-9</v>
      </c>
      <c r="I1007" s="795">
        <f>+J967*G1007+E1007</f>
        <v>6.1165010434108886E-9</v>
      </c>
      <c r="J1007" s="792">
        <f t="shared" si="92"/>
        <v>0</v>
      </c>
      <c r="K1007" s="792"/>
      <c r="L1007" s="812"/>
      <c r="M1007" s="792">
        <f t="shared" si="86"/>
        <v>0</v>
      </c>
      <c r="N1007" s="812"/>
      <c r="O1007" s="792">
        <f t="shared" si="87"/>
        <v>0</v>
      </c>
      <c r="P1007" s="792">
        <f t="shared" si="88"/>
        <v>0</v>
      </c>
    </row>
    <row r="1008" spans="3:16">
      <c r="C1008" s="788">
        <f>IF(D965="","-",+C1007+1)</f>
        <v>2050</v>
      </c>
      <c r="D1008" s="736">
        <f t="shared" si="89"/>
        <v>0</v>
      </c>
      <c r="E1008" s="789">
        <f t="shared" si="91"/>
        <v>0</v>
      </c>
      <c r="F1008" s="789">
        <f t="shared" si="85"/>
        <v>0</v>
      </c>
      <c r="G1008" s="736">
        <f t="shared" si="90"/>
        <v>0</v>
      </c>
      <c r="H1008" s="794">
        <f>+J966*G1008+E1008</f>
        <v>0</v>
      </c>
      <c r="I1008" s="795">
        <f>+J967*G1008+E1008</f>
        <v>0</v>
      </c>
      <c r="J1008" s="792">
        <f t="shared" si="92"/>
        <v>0</v>
      </c>
      <c r="K1008" s="792"/>
      <c r="L1008" s="812"/>
      <c r="M1008" s="792">
        <f t="shared" si="86"/>
        <v>0</v>
      </c>
      <c r="N1008" s="812"/>
      <c r="O1008" s="792">
        <f t="shared" si="87"/>
        <v>0</v>
      </c>
      <c r="P1008" s="792">
        <f t="shared" si="88"/>
        <v>0</v>
      </c>
    </row>
    <row r="1009" spans="3:16">
      <c r="C1009" s="788">
        <f>IF(D965="","-",+C1008+1)</f>
        <v>2051</v>
      </c>
      <c r="D1009" s="736">
        <f t="shared" si="89"/>
        <v>0</v>
      </c>
      <c r="E1009" s="789">
        <f t="shared" si="91"/>
        <v>0</v>
      </c>
      <c r="F1009" s="789">
        <f t="shared" si="85"/>
        <v>0</v>
      </c>
      <c r="G1009" s="736">
        <f t="shared" si="90"/>
        <v>0</v>
      </c>
      <c r="H1009" s="794">
        <f>+J966*G1009+E1009</f>
        <v>0</v>
      </c>
      <c r="I1009" s="795">
        <f>+J967*G1009+E1009</f>
        <v>0</v>
      </c>
      <c r="J1009" s="792">
        <f t="shared" si="92"/>
        <v>0</v>
      </c>
      <c r="K1009" s="792"/>
      <c r="L1009" s="812"/>
      <c r="M1009" s="792">
        <f t="shared" si="86"/>
        <v>0</v>
      </c>
      <c r="N1009" s="812"/>
      <c r="O1009" s="792">
        <f t="shared" si="87"/>
        <v>0</v>
      </c>
      <c r="P1009" s="792">
        <f t="shared" si="88"/>
        <v>0</v>
      </c>
    </row>
    <row r="1010" spans="3:16">
      <c r="C1010" s="788">
        <f>IF(D965="","-",+C1009+1)</f>
        <v>2052</v>
      </c>
      <c r="D1010" s="736">
        <f t="shared" si="89"/>
        <v>0</v>
      </c>
      <c r="E1010" s="789">
        <f t="shared" si="91"/>
        <v>0</v>
      </c>
      <c r="F1010" s="789">
        <f t="shared" si="85"/>
        <v>0</v>
      </c>
      <c r="G1010" s="736">
        <f t="shared" si="90"/>
        <v>0</v>
      </c>
      <c r="H1010" s="794">
        <f>+J966*G1010+E1010</f>
        <v>0</v>
      </c>
      <c r="I1010" s="795">
        <f>+J967*G1010+E1010</f>
        <v>0</v>
      </c>
      <c r="J1010" s="792">
        <f t="shared" si="92"/>
        <v>0</v>
      </c>
      <c r="K1010" s="792"/>
      <c r="L1010" s="812"/>
      <c r="M1010" s="792">
        <f t="shared" si="86"/>
        <v>0</v>
      </c>
      <c r="N1010" s="812"/>
      <c r="O1010" s="792">
        <f t="shared" si="87"/>
        <v>0</v>
      </c>
      <c r="P1010" s="792">
        <f t="shared" si="88"/>
        <v>0</v>
      </c>
    </row>
    <row r="1011" spans="3:16">
      <c r="C1011" s="788">
        <f>IF(D965="","-",+C1010+1)</f>
        <v>2053</v>
      </c>
      <c r="D1011" s="736">
        <f t="shared" si="89"/>
        <v>0</v>
      </c>
      <c r="E1011" s="789">
        <f t="shared" si="91"/>
        <v>0</v>
      </c>
      <c r="F1011" s="789">
        <f t="shared" si="85"/>
        <v>0</v>
      </c>
      <c r="G1011" s="736">
        <f t="shared" si="90"/>
        <v>0</v>
      </c>
      <c r="H1011" s="794">
        <f>+J966*G1011+E1011</f>
        <v>0</v>
      </c>
      <c r="I1011" s="795">
        <f>+J967*G1011+E1011</f>
        <v>0</v>
      </c>
      <c r="J1011" s="792">
        <f t="shared" si="92"/>
        <v>0</v>
      </c>
      <c r="K1011" s="792"/>
      <c r="L1011" s="812"/>
      <c r="M1011" s="792">
        <f t="shared" si="86"/>
        <v>0</v>
      </c>
      <c r="N1011" s="812"/>
      <c r="O1011" s="792">
        <f t="shared" si="87"/>
        <v>0</v>
      </c>
      <c r="P1011" s="792">
        <f t="shared" si="88"/>
        <v>0</v>
      </c>
    </row>
    <row r="1012" spans="3:16">
      <c r="C1012" s="788">
        <f>IF(D965="","-",+C1011+1)</f>
        <v>2054</v>
      </c>
      <c r="D1012" s="736">
        <f t="shared" si="89"/>
        <v>0</v>
      </c>
      <c r="E1012" s="789">
        <f t="shared" si="91"/>
        <v>0</v>
      </c>
      <c r="F1012" s="789">
        <f t="shared" si="85"/>
        <v>0</v>
      </c>
      <c r="G1012" s="736">
        <f t="shared" si="90"/>
        <v>0</v>
      </c>
      <c r="H1012" s="794">
        <f>+J966*G1012+E1012</f>
        <v>0</v>
      </c>
      <c r="I1012" s="795">
        <f>+J967*G1012+E1012</f>
        <v>0</v>
      </c>
      <c r="J1012" s="792">
        <f t="shared" si="92"/>
        <v>0</v>
      </c>
      <c r="K1012" s="792"/>
      <c r="L1012" s="812"/>
      <c r="M1012" s="792">
        <f t="shared" si="86"/>
        <v>0</v>
      </c>
      <c r="N1012" s="812"/>
      <c r="O1012" s="792">
        <f t="shared" si="87"/>
        <v>0</v>
      </c>
      <c r="P1012" s="792">
        <f t="shared" si="88"/>
        <v>0</v>
      </c>
    </row>
    <row r="1013" spans="3:16">
      <c r="C1013" s="788">
        <f>IF(D965="","-",+C1012+1)</f>
        <v>2055</v>
      </c>
      <c r="D1013" s="736">
        <f t="shared" si="89"/>
        <v>0</v>
      </c>
      <c r="E1013" s="789">
        <f t="shared" si="91"/>
        <v>0</v>
      </c>
      <c r="F1013" s="789">
        <f t="shared" si="85"/>
        <v>0</v>
      </c>
      <c r="G1013" s="736">
        <f t="shared" si="90"/>
        <v>0</v>
      </c>
      <c r="H1013" s="794">
        <f>+J966*G1013+E1013</f>
        <v>0</v>
      </c>
      <c r="I1013" s="795">
        <f>+J967*G1013+E1013</f>
        <v>0</v>
      </c>
      <c r="J1013" s="792">
        <f t="shared" si="92"/>
        <v>0</v>
      </c>
      <c r="K1013" s="792"/>
      <c r="L1013" s="812"/>
      <c r="M1013" s="792">
        <f t="shared" si="86"/>
        <v>0</v>
      </c>
      <c r="N1013" s="812"/>
      <c r="O1013" s="792">
        <f t="shared" si="87"/>
        <v>0</v>
      </c>
      <c r="P1013" s="792">
        <f t="shared" si="88"/>
        <v>0</v>
      </c>
    </row>
    <row r="1014" spans="3:16">
      <c r="C1014" s="788">
        <f>IF(D965="","-",+C1013+1)</f>
        <v>2056</v>
      </c>
      <c r="D1014" s="736">
        <f t="shared" si="89"/>
        <v>0</v>
      </c>
      <c r="E1014" s="789">
        <f t="shared" si="91"/>
        <v>0</v>
      </c>
      <c r="F1014" s="789">
        <f t="shared" si="85"/>
        <v>0</v>
      </c>
      <c r="G1014" s="736">
        <f t="shared" si="90"/>
        <v>0</v>
      </c>
      <c r="H1014" s="794">
        <f>+J966*G1014+E1014</f>
        <v>0</v>
      </c>
      <c r="I1014" s="795">
        <f>+J967*G1014+E1014</f>
        <v>0</v>
      </c>
      <c r="J1014" s="792">
        <f t="shared" si="92"/>
        <v>0</v>
      </c>
      <c r="K1014" s="792"/>
      <c r="L1014" s="812"/>
      <c r="M1014" s="792">
        <f t="shared" si="86"/>
        <v>0</v>
      </c>
      <c r="N1014" s="812"/>
      <c r="O1014" s="792">
        <f t="shared" si="87"/>
        <v>0</v>
      </c>
      <c r="P1014" s="792">
        <f t="shared" si="88"/>
        <v>0</v>
      </c>
    </row>
    <row r="1015" spans="3:16">
      <c r="C1015" s="788">
        <f>IF(D965="","-",+C1014+1)</f>
        <v>2057</v>
      </c>
      <c r="D1015" s="736">
        <f t="shared" si="89"/>
        <v>0</v>
      </c>
      <c r="E1015" s="789">
        <f t="shared" si="91"/>
        <v>0</v>
      </c>
      <c r="F1015" s="789">
        <f t="shared" si="85"/>
        <v>0</v>
      </c>
      <c r="G1015" s="736">
        <f t="shared" si="90"/>
        <v>0</v>
      </c>
      <c r="H1015" s="794">
        <f>+J966*G1015+E1015</f>
        <v>0</v>
      </c>
      <c r="I1015" s="795">
        <f>+J967*G1015+E1015</f>
        <v>0</v>
      </c>
      <c r="J1015" s="792">
        <f t="shared" si="92"/>
        <v>0</v>
      </c>
      <c r="K1015" s="792"/>
      <c r="L1015" s="812"/>
      <c r="M1015" s="792">
        <f t="shared" si="86"/>
        <v>0</v>
      </c>
      <c r="N1015" s="812"/>
      <c r="O1015" s="792">
        <f t="shared" si="87"/>
        <v>0</v>
      </c>
      <c r="P1015" s="792">
        <f t="shared" si="88"/>
        <v>0</v>
      </c>
    </row>
    <row r="1016" spans="3:16">
      <c r="C1016" s="788">
        <f>IF(D965="","-",+C1015+1)</f>
        <v>2058</v>
      </c>
      <c r="D1016" s="736">
        <f t="shared" si="89"/>
        <v>0</v>
      </c>
      <c r="E1016" s="789">
        <f t="shared" si="91"/>
        <v>0</v>
      </c>
      <c r="F1016" s="789">
        <f t="shared" si="85"/>
        <v>0</v>
      </c>
      <c r="G1016" s="736">
        <f t="shared" si="90"/>
        <v>0</v>
      </c>
      <c r="H1016" s="794">
        <f>+J966*G1016+E1016</f>
        <v>0</v>
      </c>
      <c r="I1016" s="795">
        <f>+J967*G1016+E1016</f>
        <v>0</v>
      </c>
      <c r="J1016" s="792">
        <f t="shared" si="92"/>
        <v>0</v>
      </c>
      <c r="K1016" s="792"/>
      <c r="L1016" s="812"/>
      <c r="M1016" s="792">
        <f t="shared" si="86"/>
        <v>0</v>
      </c>
      <c r="N1016" s="812"/>
      <c r="O1016" s="792">
        <f t="shared" si="87"/>
        <v>0</v>
      </c>
      <c r="P1016" s="792">
        <f t="shared" si="88"/>
        <v>0</v>
      </c>
    </row>
    <row r="1017" spans="3:16">
      <c r="C1017" s="788">
        <f>IF(D965="","-",+C1016+1)</f>
        <v>2059</v>
      </c>
      <c r="D1017" s="736">
        <f t="shared" si="89"/>
        <v>0</v>
      </c>
      <c r="E1017" s="789">
        <f t="shared" si="91"/>
        <v>0</v>
      </c>
      <c r="F1017" s="789">
        <f t="shared" si="85"/>
        <v>0</v>
      </c>
      <c r="G1017" s="736">
        <f t="shared" si="90"/>
        <v>0</v>
      </c>
      <c r="H1017" s="794">
        <f>+J966*G1017+E1017</f>
        <v>0</v>
      </c>
      <c r="I1017" s="795">
        <f>+J967*G1017+E1017</f>
        <v>0</v>
      </c>
      <c r="J1017" s="792">
        <f t="shared" si="92"/>
        <v>0</v>
      </c>
      <c r="K1017" s="792"/>
      <c r="L1017" s="812"/>
      <c r="M1017" s="792">
        <f t="shared" si="86"/>
        <v>0</v>
      </c>
      <c r="N1017" s="812"/>
      <c r="O1017" s="792">
        <f t="shared" si="87"/>
        <v>0</v>
      </c>
      <c r="P1017" s="792">
        <f t="shared" si="88"/>
        <v>0</v>
      </c>
    </row>
    <row r="1018" spans="3:16">
      <c r="C1018" s="788">
        <f>IF(D965="","-",+C1017+1)</f>
        <v>2060</v>
      </c>
      <c r="D1018" s="736">
        <f t="shared" si="89"/>
        <v>0</v>
      </c>
      <c r="E1018" s="789">
        <f t="shared" si="91"/>
        <v>0</v>
      </c>
      <c r="F1018" s="789">
        <f t="shared" si="85"/>
        <v>0</v>
      </c>
      <c r="G1018" s="736">
        <f t="shared" si="90"/>
        <v>0</v>
      </c>
      <c r="H1018" s="794">
        <f>+J966*G1018+E1018</f>
        <v>0</v>
      </c>
      <c r="I1018" s="795">
        <f>+J967*G1018+E1018</f>
        <v>0</v>
      </c>
      <c r="J1018" s="792">
        <f t="shared" si="92"/>
        <v>0</v>
      </c>
      <c r="K1018" s="792"/>
      <c r="L1018" s="812"/>
      <c r="M1018" s="792">
        <f t="shared" si="86"/>
        <v>0</v>
      </c>
      <c r="N1018" s="812"/>
      <c r="O1018" s="792">
        <f t="shared" si="87"/>
        <v>0</v>
      </c>
      <c r="P1018" s="792">
        <f t="shared" si="88"/>
        <v>0</v>
      </c>
    </row>
    <row r="1019" spans="3:16">
      <c r="C1019" s="788">
        <f>IF(D965="","-",+C1018+1)</f>
        <v>2061</v>
      </c>
      <c r="D1019" s="736">
        <f t="shared" si="89"/>
        <v>0</v>
      </c>
      <c r="E1019" s="789">
        <f t="shared" si="91"/>
        <v>0</v>
      </c>
      <c r="F1019" s="789">
        <f t="shared" si="85"/>
        <v>0</v>
      </c>
      <c r="G1019" s="736">
        <f t="shared" si="90"/>
        <v>0</v>
      </c>
      <c r="H1019" s="794">
        <f>+J966*G1019+E1019</f>
        <v>0</v>
      </c>
      <c r="I1019" s="795">
        <f>+J967*G1019+E1019</f>
        <v>0</v>
      </c>
      <c r="J1019" s="792">
        <f t="shared" si="92"/>
        <v>0</v>
      </c>
      <c r="K1019" s="792"/>
      <c r="L1019" s="812"/>
      <c r="M1019" s="792">
        <f t="shared" si="86"/>
        <v>0</v>
      </c>
      <c r="N1019" s="812"/>
      <c r="O1019" s="792">
        <f t="shared" si="87"/>
        <v>0</v>
      </c>
      <c r="P1019" s="792">
        <f t="shared" si="88"/>
        <v>0</v>
      </c>
    </row>
    <row r="1020" spans="3:16">
      <c r="C1020" s="788">
        <f>IF(D965="","-",+C1019+1)</f>
        <v>2062</v>
      </c>
      <c r="D1020" s="736">
        <f t="shared" si="89"/>
        <v>0</v>
      </c>
      <c r="E1020" s="789">
        <f t="shared" si="91"/>
        <v>0</v>
      </c>
      <c r="F1020" s="789">
        <f t="shared" si="85"/>
        <v>0</v>
      </c>
      <c r="G1020" s="736">
        <f t="shared" si="90"/>
        <v>0</v>
      </c>
      <c r="H1020" s="794">
        <f>+J966*G1020+E1020</f>
        <v>0</v>
      </c>
      <c r="I1020" s="795">
        <f>+J967*G1020+E1020</f>
        <v>0</v>
      </c>
      <c r="J1020" s="792">
        <f t="shared" si="92"/>
        <v>0</v>
      </c>
      <c r="K1020" s="792"/>
      <c r="L1020" s="812"/>
      <c r="M1020" s="792">
        <f t="shared" si="86"/>
        <v>0</v>
      </c>
      <c r="N1020" s="812"/>
      <c r="O1020" s="792">
        <f t="shared" si="87"/>
        <v>0</v>
      </c>
      <c r="P1020" s="792">
        <f t="shared" si="88"/>
        <v>0</v>
      </c>
    </row>
    <row r="1021" spans="3:16">
      <c r="C1021" s="788">
        <f>IF(D965="","-",+C1020+1)</f>
        <v>2063</v>
      </c>
      <c r="D1021" s="736">
        <f t="shared" si="89"/>
        <v>0</v>
      </c>
      <c r="E1021" s="789">
        <f t="shared" si="91"/>
        <v>0</v>
      </c>
      <c r="F1021" s="789">
        <f t="shared" si="85"/>
        <v>0</v>
      </c>
      <c r="G1021" s="736">
        <f t="shared" si="90"/>
        <v>0</v>
      </c>
      <c r="H1021" s="794">
        <f>+J966*G1021+E1021</f>
        <v>0</v>
      </c>
      <c r="I1021" s="795">
        <f>+J967*G1021+E1021</f>
        <v>0</v>
      </c>
      <c r="J1021" s="792">
        <f t="shared" si="92"/>
        <v>0</v>
      </c>
      <c r="K1021" s="792"/>
      <c r="L1021" s="812"/>
      <c r="M1021" s="792">
        <f t="shared" si="86"/>
        <v>0</v>
      </c>
      <c r="N1021" s="812"/>
      <c r="O1021" s="792">
        <f t="shared" si="87"/>
        <v>0</v>
      </c>
      <c r="P1021" s="792">
        <f t="shared" si="88"/>
        <v>0</v>
      </c>
    </row>
    <row r="1022" spans="3:16">
      <c r="C1022" s="788">
        <f>IF(D965="","-",+C1021+1)</f>
        <v>2064</v>
      </c>
      <c r="D1022" s="736">
        <f t="shared" si="89"/>
        <v>0</v>
      </c>
      <c r="E1022" s="789">
        <f t="shared" si="91"/>
        <v>0</v>
      </c>
      <c r="F1022" s="789">
        <f t="shared" si="85"/>
        <v>0</v>
      </c>
      <c r="G1022" s="736">
        <f t="shared" si="90"/>
        <v>0</v>
      </c>
      <c r="H1022" s="794">
        <f>+J966*G1022+E1022</f>
        <v>0</v>
      </c>
      <c r="I1022" s="795">
        <f>+J967*G1022+E1022</f>
        <v>0</v>
      </c>
      <c r="J1022" s="792">
        <f t="shared" si="92"/>
        <v>0</v>
      </c>
      <c r="K1022" s="792"/>
      <c r="L1022" s="812"/>
      <c r="M1022" s="792">
        <f t="shared" si="86"/>
        <v>0</v>
      </c>
      <c r="N1022" s="812"/>
      <c r="O1022" s="792">
        <f t="shared" si="87"/>
        <v>0</v>
      </c>
      <c r="P1022" s="792">
        <f t="shared" si="88"/>
        <v>0</v>
      </c>
    </row>
    <row r="1023" spans="3:16">
      <c r="C1023" s="788">
        <f>IF(D965="","-",+C1022+1)</f>
        <v>2065</v>
      </c>
      <c r="D1023" s="736">
        <f t="shared" si="89"/>
        <v>0</v>
      </c>
      <c r="E1023" s="789">
        <f t="shared" si="91"/>
        <v>0</v>
      </c>
      <c r="F1023" s="789">
        <f t="shared" si="85"/>
        <v>0</v>
      </c>
      <c r="G1023" s="736">
        <f t="shared" si="90"/>
        <v>0</v>
      </c>
      <c r="H1023" s="794">
        <f>+J966*G1023+E1023</f>
        <v>0</v>
      </c>
      <c r="I1023" s="795">
        <f>+J967*G1023+E1023</f>
        <v>0</v>
      </c>
      <c r="J1023" s="792">
        <f t="shared" si="92"/>
        <v>0</v>
      </c>
      <c r="K1023" s="792"/>
      <c r="L1023" s="812"/>
      <c r="M1023" s="792">
        <f t="shared" si="86"/>
        <v>0</v>
      </c>
      <c r="N1023" s="812"/>
      <c r="O1023" s="792">
        <f t="shared" si="87"/>
        <v>0</v>
      </c>
      <c r="P1023" s="792">
        <f t="shared" si="88"/>
        <v>0</v>
      </c>
    </row>
    <row r="1024" spans="3:16">
      <c r="C1024" s="788">
        <f>IF(D965="","-",+C1023+1)</f>
        <v>2066</v>
      </c>
      <c r="D1024" s="736">
        <f t="shared" si="89"/>
        <v>0</v>
      </c>
      <c r="E1024" s="789">
        <f t="shared" si="91"/>
        <v>0</v>
      </c>
      <c r="F1024" s="789">
        <f t="shared" si="85"/>
        <v>0</v>
      </c>
      <c r="G1024" s="736">
        <f t="shared" si="90"/>
        <v>0</v>
      </c>
      <c r="H1024" s="794">
        <f>+J966*G1024+E1024</f>
        <v>0</v>
      </c>
      <c r="I1024" s="795">
        <f>+J967*G1024+E1024</f>
        <v>0</v>
      </c>
      <c r="J1024" s="792">
        <f t="shared" si="92"/>
        <v>0</v>
      </c>
      <c r="K1024" s="792"/>
      <c r="L1024" s="812"/>
      <c r="M1024" s="792">
        <f t="shared" si="86"/>
        <v>0</v>
      </c>
      <c r="N1024" s="812"/>
      <c r="O1024" s="792">
        <f t="shared" si="87"/>
        <v>0</v>
      </c>
      <c r="P1024" s="792">
        <f t="shared" si="88"/>
        <v>0</v>
      </c>
    </row>
    <row r="1025" spans="1:17">
      <c r="C1025" s="788">
        <f>IF(D965="","-",+C1024+1)</f>
        <v>2067</v>
      </c>
      <c r="D1025" s="736">
        <f t="shared" si="89"/>
        <v>0</v>
      </c>
      <c r="E1025" s="789">
        <f t="shared" si="91"/>
        <v>0</v>
      </c>
      <c r="F1025" s="789">
        <f t="shared" si="85"/>
        <v>0</v>
      </c>
      <c r="G1025" s="736">
        <f t="shared" si="90"/>
        <v>0</v>
      </c>
      <c r="H1025" s="794">
        <f>+J966*G1025+E1025</f>
        <v>0</v>
      </c>
      <c r="I1025" s="795">
        <f>+J967*G1025+E1025</f>
        <v>0</v>
      </c>
      <c r="J1025" s="792">
        <f t="shared" si="92"/>
        <v>0</v>
      </c>
      <c r="K1025" s="792"/>
      <c r="L1025" s="812"/>
      <c r="M1025" s="792">
        <f t="shared" si="86"/>
        <v>0</v>
      </c>
      <c r="N1025" s="812"/>
      <c r="O1025" s="792">
        <f t="shared" si="87"/>
        <v>0</v>
      </c>
      <c r="P1025" s="792">
        <f t="shared" si="88"/>
        <v>0</v>
      </c>
    </row>
    <row r="1026" spans="1:17">
      <c r="C1026" s="788">
        <f>IF(D965="","-",+C1025+1)</f>
        <v>2068</v>
      </c>
      <c r="D1026" s="736">
        <f t="shared" si="89"/>
        <v>0</v>
      </c>
      <c r="E1026" s="789">
        <f t="shared" si="91"/>
        <v>0</v>
      </c>
      <c r="F1026" s="789">
        <f t="shared" si="85"/>
        <v>0</v>
      </c>
      <c r="G1026" s="736">
        <f t="shared" si="90"/>
        <v>0</v>
      </c>
      <c r="H1026" s="794">
        <f>+J966*G1026+E1026</f>
        <v>0</v>
      </c>
      <c r="I1026" s="795">
        <f>+J967*G1026+E1026</f>
        <v>0</v>
      </c>
      <c r="J1026" s="792">
        <f t="shared" si="92"/>
        <v>0</v>
      </c>
      <c r="K1026" s="792"/>
      <c r="L1026" s="812"/>
      <c r="M1026" s="792">
        <f t="shared" si="86"/>
        <v>0</v>
      </c>
      <c r="N1026" s="812"/>
      <c r="O1026" s="792">
        <f t="shared" si="87"/>
        <v>0</v>
      </c>
      <c r="P1026" s="792">
        <f t="shared" si="88"/>
        <v>0</v>
      </c>
    </row>
    <row r="1027" spans="1:17">
      <c r="C1027" s="788">
        <f>IF(D965="","-",+C1026+1)</f>
        <v>2069</v>
      </c>
      <c r="D1027" s="736">
        <f t="shared" si="89"/>
        <v>0</v>
      </c>
      <c r="E1027" s="789">
        <f t="shared" si="91"/>
        <v>0</v>
      </c>
      <c r="F1027" s="789">
        <f t="shared" si="85"/>
        <v>0</v>
      </c>
      <c r="G1027" s="736">
        <f t="shared" si="90"/>
        <v>0</v>
      </c>
      <c r="H1027" s="794">
        <f>+J966*G1027+E1027</f>
        <v>0</v>
      </c>
      <c r="I1027" s="795">
        <f>+J967*G1027+E1027</f>
        <v>0</v>
      </c>
      <c r="J1027" s="792">
        <f t="shared" si="92"/>
        <v>0</v>
      </c>
      <c r="K1027" s="792"/>
      <c r="L1027" s="812"/>
      <c r="M1027" s="792">
        <f t="shared" si="86"/>
        <v>0</v>
      </c>
      <c r="N1027" s="812"/>
      <c r="O1027" s="792">
        <f t="shared" si="87"/>
        <v>0</v>
      </c>
      <c r="P1027" s="792">
        <f t="shared" si="88"/>
        <v>0</v>
      </c>
    </row>
    <row r="1028" spans="1:17">
      <c r="C1028" s="788">
        <f>IF(D965="","-",+C1027+1)</f>
        <v>2070</v>
      </c>
      <c r="D1028" s="736">
        <f t="shared" si="89"/>
        <v>0</v>
      </c>
      <c r="E1028" s="789">
        <f t="shared" si="91"/>
        <v>0</v>
      </c>
      <c r="F1028" s="789">
        <f t="shared" si="85"/>
        <v>0</v>
      </c>
      <c r="G1028" s="736">
        <f t="shared" si="90"/>
        <v>0</v>
      </c>
      <c r="H1028" s="794">
        <f>+J966*G1028+E1028</f>
        <v>0</v>
      </c>
      <c r="I1028" s="795">
        <f>+J967*G1028+E1028</f>
        <v>0</v>
      </c>
      <c r="J1028" s="792">
        <f t="shared" si="92"/>
        <v>0</v>
      </c>
      <c r="K1028" s="792"/>
      <c r="L1028" s="812"/>
      <c r="M1028" s="792">
        <f t="shared" si="86"/>
        <v>0</v>
      </c>
      <c r="N1028" s="812"/>
      <c r="O1028" s="792">
        <f t="shared" si="87"/>
        <v>0</v>
      </c>
      <c r="P1028" s="792">
        <f t="shared" si="88"/>
        <v>0</v>
      </c>
    </row>
    <row r="1029" spans="1:17">
      <c r="C1029" s="788">
        <f>IF(D965="","-",+C1028+1)</f>
        <v>2071</v>
      </c>
      <c r="D1029" s="736">
        <f t="shared" si="89"/>
        <v>0</v>
      </c>
      <c r="E1029" s="789">
        <f t="shared" si="91"/>
        <v>0</v>
      </c>
      <c r="F1029" s="789">
        <f t="shared" si="85"/>
        <v>0</v>
      </c>
      <c r="G1029" s="736">
        <f t="shared" si="90"/>
        <v>0</v>
      </c>
      <c r="H1029" s="794">
        <f>+J966*G1029+E1029</f>
        <v>0</v>
      </c>
      <c r="I1029" s="795">
        <f>+J967*G1029+E1029</f>
        <v>0</v>
      </c>
      <c r="J1029" s="792">
        <f t="shared" si="92"/>
        <v>0</v>
      </c>
      <c r="K1029" s="792"/>
      <c r="L1029" s="812"/>
      <c r="M1029" s="792">
        <f t="shared" si="86"/>
        <v>0</v>
      </c>
      <c r="N1029" s="812"/>
      <c r="O1029" s="792">
        <f t="shared" si="87"/>
        <v>0</v>
      </c>
      <c r="P1029" s="792">
        <f t="shared" si="88"/>
        <v>0</v>
      </c>
    </row>
    <row r="1030" spans="1:17" ht="13.5" thickBot="1">
      <c r="C1030" s="798">
        <f>IF(D965="","-",+C1029+1)</f>
        <v>2072</v>
      </c>
      <c r="D1030" s="799">
        <f t="shared" si="89"/>
        <v>0</v>
      </c>
      <c r="E1030" s="800">
        <f>IF(D1030&gt;$J$881,$J$881,D1030)</f>
        <v>0</v>
      </c>
      <c r="F1030" s="1322">
        <f t="shared" si="85"/>
        <v>0</v>
      </c>
      <c r="G1030" s="799">
        <f t="shared" si="90"/>
        <v>0</v>
      </c>
      <c r="H1030" s="801">
        <f>+J966*G1030+E1030</f>
        <v>0</v>
      </c>
      <c r="I1030" s="801">
        <f>+J967*G1030+E1030</f>
        <v>0</v>
      </c>
      <c r="J1030" s="802">
        <f t="shared" si="92"/>
        <v>0</v>
      </c>
      <c r="K1030" s="792"/>
      <c r="L1030" s="813"/>
      <c r="M1030" s="802">
        <f t="shared" si="86"/>
        <v>0</v>
      </c>
      <c r="N1030" s="813"/>
      <c r="O1030" s="802">
        <f t="shared" si="87"/>
        <v>0</v>
      </c>
      <c r="P1030" s="802">
        <f t="shared" si="88"/>
        <v>0</v>
      </c>
    </row>
    <row r="1031" spans="1:17">
      <c r="C1031" s="736" t="s">
        <v>83</v>
      </c>
      <c r="D1031" s="730"/>
      <c r="E1031" s="730">
        <f>SUM(E971:E1030)</f>
        <v>13744473.9</v>
      </c>
      <c r="F1031" s="730"/>
      <c r="G1031" s="730"/>
      <c r="H1031" s="730">
        <f>SUM(H971:H1030)</f>
        <v>50487863.238498919</v>
      </c>
      <c r="I1031" s="730">
        <f>SUM(I971:I1030)</f>
        <v>50487863.238498919</v>
      </c>
      <c r="J1031" s="730">
        <f>SUM(J971:J1030)</f>
        <v>0</v>
      </c>
      <c r="K1031" s="730"/>
      <c r="L1031" s="730"/>
      <c r="M1031" s="730"/>
      <c r="N1031" s="730"/>
      <c r="O1031" s="730"/>
    </row>
    <row r="1032" spans="1:17">
      <c r="D1032" s="538"/>
      <c r="E1032" s="313"/>
      <c r="F1032" s="313"/>
      <c r="G1032" s="313"/>
      <c r="H1032" s="313"/>
      <c r="I1032" s="708"/>
      <c r="J1032" s="708"/>
      <c r="K1032" s="730"/>
      <c r="L1032" s="708"/>
      <c r="M1032" s="708"/>
      <c r="N1032" s="708"/>
      <c r="O1032" s="708"/>
    </row>
    <row r="1033" spans="1:17">
      <c r="C1033" s="313" t="s">
        <v>13</v>
      </c>
      <c r="D1033" s="538"/>
      <c r="E1033" s="313"/>
      <c r="F1033" s="313"/>
      <c r="G1033" s="313"/>
      <c r="H1033" s="313"/>
      <c r="I1033" s="708"/>
      <c r="J1033" s="708"/>
      <c r="K1033" s="730"/>
      <c r="L1033" s="708"/>
      <c r="M1033" s="708"/>
      <c r="N1033" s="708"/>
      <c r="O1033" s="708"/>
    </row>
    <row r="1034" spans="1:17">
      <c r="C1034" s="313"/>
      <c r="D1034" s="538"/>
      <c r="E1034" s="313"/>
      <c r="F1034" s="313"/>
      <c r="G1034" s="313"/>
      <c r="H1034" s="313"/>
      <c r="I1034" s="708"/>
      <c r="J1034" s="708"/>
      <c r="K1034" s="730"/>
      <c r="L1034" s="708"/>
      <c r="M1034" s="708"/>
      <c r="N1034" s="708"/>
      <c r="O1034" s="708"/>
    </row>
    <row r="1035" spans="1:17">
      <c r="C1035" s="749" t="s">
        <v>14</v>
      </c>
      <c r="D1035" s="736"/>
      <c r="E1035" s="736"/>
      <c r="F1035" s="736"/>
      <c r="G1035" s="736"/>
      <c r="H1035" s="730"/>
      <c r="I1035" s="730"/>
      <c r="J1035" s="804"/>
      <c r="K1035" s="804"/>
      <c r="L1035" s="804"/>
      <c r="M1035" s="804"/>
      <c r="N1035" s="804"/>
      <c r="O1035" s="804"/>
    </row>
    <row r="1036" spans="1:17">
      <c r="C1036" s="735" t="s">
        <v>263</v>
      </c>
      <c r="D1036" s="736"/>
      <c r="E1036" s="736"/>
      <c r="F1036" s="736"/>
      <c r="G1036" s="736"/>
      <c r="H1036" s="730"/>
      <c r="I1036" s="730"/>
      <c r="J1036" s="804"/>
      <c r="K1036" s="804"/>
      <c r="L1036" s="804"/>
      <c r="M1036" s="804"/>
      <c r="N1036" s="804"/>
      <c r="O1036" s="804"/>
    </row>
    <row r="1037" spans="1:17">
      <c r="C1037" s="735" t="s">
        <v>84</v>
      </c>
      <c r="D1037" s="736"/>
      <c r="E1037" s="736"/>
      <c r="F1037" s="736"/>
      <c r="G1037" s="736"/>
      <c r="H1037" s="730"/>
      <c r="I1037" s="730"/>
      <c r="J1037" s="804"/>
      <c r="K1037" s="804"/>
      <c r="L1037" s="804"/>
      <c r="M1037" s="804"/>
      <c r="N1037" s="804"/>
      <c r="O1037" s="804"/>
    </row>
    <row r="1038" spans="1:17">
      <c r="C1038" s="735"/>
      <c r="D1038" s="736"/>
      <c r="E1038" s="736"/>
      <c r="F1038" s="736"/>
      <c r="G1038" s="736"/>
      <c r="H1038" s="730"/>
      <c r="I1038" s="730"/>
      <c r="J1038" s="804"/>
      <c r="K1038" s="804"/>
      <c r="L1038" s="804"/>
      <c r="M1038" s="804"/>
      <c r="N1038" s="804"/>
      <c r="O1038" s="804"/>
    </row>
    <row r="1039" spans="1:17" ht="20.25">
      <c r="A1039" s="737" t="str">
        <f>""&amp;A963&amp;" Worksheet K -  ATRR TRUE-UP Calculation for PJM Projects Charged to Benefiting Zones"</f>
        <v xml:space="preserve"> Worksheet K -  ATRR TRUE-UP Calculation for PJM Projects Charged to Benefiting Zones</v>
      </c>
      <c r="B1039" s="347"/>
      <c r="C1039" s="725"/>
      <c r="D1039" s="538"/>
      <c r="E1039" s="313"/>
      <c r="F1039" s="707"/>
      <c r="G1039" s="707"/>
      <c r="H1039" s="313"/>
      <c r="I1039" s="708"/>
      <c r="L1039" s="564"/>
      <c r="M1039" s="564"/>
      <c r="N1039" s="564"/>
      <c r="O1039" s="653" t="str">
        <f>"Page "&amp;SUM(Q$8:Q1039)&amp;" of "</f>
        <v xml:space="preserve">Page 13 of </v>
      </c>
      <c r="P1039" s="654">
        <f>COUNT(Q$8:Q$57703)</f>
        <v>22</v>
      </c>
      <c r="Q1039" s="655">
        <v>1</v>
      </c>
    </row>
    <row r="1040" spans="1:17">
      <c r="B1040" s="347"/>
      <c r="C1040" s="313"/>
      <c r="D1040" s="538"/>
      <c r="E1040" s="313"/>
      <c r="F1040" s="313"/>
      <c r="G1040" s="313"/>
      <c r="H1040" s="313"/>
      <c r="I1040" s="708"/>
      <c r="J1040" s="313"/>
      <c r="K1040" s="426"/>
    </row>
    <row r="1041" spans="2:16" ht="18">
      <c r="B1041" s="657" t="s">
        <v>466</v>
      </c>
      <c r="C1041" s="739" t="s">
        <v>85</v>
      </c>
      <c r="D1041" s="538"/>
      <c r="E1041" s="313"/>
      <c r="F1041" s="313"/>
      <c r="G1041" s="313"/>
      <c r="H1041" s="313"/>
      <c r="I1041" s="708"/>
      <c r="J1041" s="708"/>
      <c r="K1041" s="730"/>
      <c r="L1041" s="708"/>
      <c r="M1041" s="708"/>
      <c r="N1041" s="708"/>
      <c r="O1041" s="708"/>
    </row>
    <row r="1042" spans="2:16" ht="18.75">
      <c r="B1042" s="657"/>
      <c r="C1042" s="656"/>
      <c r="D1042" s="538"/>
      <c r="E1042" s="313"/>
      <c r="F1042" s="313"/>
      <c r="G1042" s="313"/>
      <c r="H1042" s="313"/>
      <c r="I1042" s="708"/>
      <c r="J1042" s="708"/>
      <c r="K1042" s="730"/>
      <c r="L1042" s="708"/>
      <c r="M1042" s="708"/>
      <c r="N1042" s="708"/>
      <c r="O1042" s="708"/>
    </row>
    <row r="1043" spans="2:16" ht="18.75">
      <c r="B1043" s="657"/>
      <c r="C1043" s="656" t="s">
        <v>86</v>
      </c>
      <c r="D1043" s="538"/>
      <c r="E1043" s="313"/>
      <c r="F1043" s="313"/>
      <c r="G1043" s="313"/>
      <c r="H1043" s="313"/>
      <c r="I1043" s="708"/>
      <c r="J1043" s="708"/>
      <c r="K1043" s="730"/>
      <c r="L1043" s="708"/>
      <c r="M1043" s="708"/>
      <c r="N1043" s="708"/>
      <c r="O1043" s="708"/>
    </row>
    <row r="1044" spans="2:16" ht="15.75" thickBot="1">
      <c r="C1044" s="239"/>
      <c r="D1044" s="538"/>
      <c r="E1044" s="313"/>
      <c r="F1044" s="313"/>
      <c r="G1044" s="313"/>
      <c r="H1044" s="313"/>
      <c r="I1044" s="708"/>
      <c r="J1044" s="708"/>
      <c r="K1044" s="730"/>
      <c r="L1044" s="708"/>
      <c r="M1044" s="708"/>
      <c r="N1044" s="708"/>
      <c r="O1044" s="708"/>
    </row>
    <row r="1045" spans="2:16" ht="15.75">
      <c r="C1045" s="659" t="s">
        <v>87</v>
      </c>
      <c r="D1045" s="538"/>
      <c r="E1045" s="313"/>
      <c r="F1045" s="313"/>
      <c r="G1045" s="313"/>
      <c r="H1045" s="806"/>
      <c r="I1045" s="313" t="s">
        <v>66</v>
      </c>
      <c r="J1045" s="313"/>
      <c r="K1045" s="426"/>
      <c r="L1045" s="835">
        <f>+J1051</f>
        <v>2023</v>
      </c>
      <c r="M1045" s="816" t="s">
        <v>45</v>
      </c>
      <c r="N1045" s="816" t="s">
        <v>46</v>
      </c>
      <c r="O1045" s="817" t="s">
        <v>47</v>
      </c>
    </row>
    <row r="1046" spans="2:16" ht="15.75">
      <c r="C1046" s="659"/>
      <c r="D1046" s="538"/>
      <c r="E1046" s="313"/>
      <c r="F1046" s="313"/>
      <c r="H1046" s="313"/>
      <c r="I1046" s="744"/>
      <c r="J1046" s="744"/>
      <c r="K1046" s="745"/>
      <c r="L1046" s="836" t="s">
        <v>235</v>
      </c>
      <c r="M1046" s="837">
        <f>VLOOKUP(J1051,C1058:P1117,10)</f>
        <v>3034357.3074561041</v>
      </c>
      <c r="N1046" s="837">
        <f>VLOOKUP(J1051,C1058:P1117,12)</f>
        <v>3034357.3074561041</v>
      </c>
      <c r="O1046" s="838">
        <f>+N1046-M1046</f>
        <v>0</v>
      </c>
    </row>
    <row r="1047" spans="2:16" ht="12.95" customHeight="1">
      <c r="C1047" s="749" t="s">
        <v>88</v>
      </c>
      <c r="D1047" s="1537" t="s">
        <v>821</v>
      </c>
      <c r="E1047" s="1537"/>
      <c r="F1047" s="1537"/>
      <c r="G1047" s="1537"/>
      <c r="H1047" s="1537"/>
      <c r="I1047" s="1537"/>
      <c r="J1047" s="708"/>
      <c r="K1047" s="730"/>
      <c r="L1047" s="836" t="s">
        <v>236</v>
      </c>
      <c r="M1047" s="839">
        <f>VLOOKUP(J1051,C1058:P1117,6)</f>
        <v>2905717.8109728717</v>
      </c>
      <c r="N1047" s="839">
        <f>VLOOKUP(J1051,C1058:P1117,7)</f>
        <v>2905717.8109728717</v>
      </c>
      <c r="O1047" s="840">
        <f>+N1047-M1047</f>
        <v>0</v>
      </c>
    </row>
    <row r="1048" spans="2:16" ht="13.5" thickBot="1">
      <c r="C1048" s="753"/>
      <c r="D1048" s="1537"/>
      <c r="E1048" s="1537"/>
      <c r="F1048" s="1537"/>
      <c r="G1048" s="1537"/>
      <c r="H1048" s="1537"/>
      <c r="I1048" s="1537"/>
      <c r="J1048" s="708"/>
      <c r="K1048" s="730"/>
      <c r="L1048" s="772" t="s">
        <v>237</v>
      </c>
      <c r="M1048" s="841">
        <f>+M1047-M1046</f>
        <v>-128639.49648323236</v>
      </c>
      <c r="N1048" s="841">
        <f>+N1047-N1046</f>
        <v>-128639.49648323236</v>
      </c>
      <c r="O1048" s="842">
        <f>+O1047-O1046</f>
        <v>0</v>
      </c>
    </row>
    <row r="1049" spans="2:16" ht="13.5" thickBot="1">
      <c r="C1049" s="756"/>
      <c r="D1049" s="757"/>
      <c r="E1049" s="755"/>
      <c r="F1049" s="755"/>
      <c r="G1049" s="755"/>
      <c r="H1049" s="755"/>
      <c r="I1049" s="755"/>
      <c r="J1049" s="755"/>
      <c r="K1049" s="758"/>
      <c r="L1049" s="755"/>
      <c r="M1049" s="755"/>
      <c r="N1049" s="755"/>
      <c r="O1049" s="755"/>
      <c r="P1049" s="347"/>
    </row>
    <row r="1050" spans="2:16" ht="13.5" thickBot="1">
      <c r="C1050" s="759" t="s">
        <v>89</v>
      </c>
      <c r="D1050" s="760"/>
      <c r="E1050" s="760"/>
      <c r="F1050" s="760"/>
      <c r="G1050" s="760"/>
      <c r="H1050" s="760"/>
      <c r="I1050" s="760"/>
      <c r="J1050" s="760"/>
      <c r="K1050" s="762"/>
      <c r="P1050" s="763"/>
    </row>
    <row r="1051" spans="2:16" ht="15">
      <c r="C1051" s="764" t="s">
        <v>67</v>
      </c>
      <c r="D1051" s="808">
        <v>21058753.359999999</v>
      </c>
      <c r="E1051" s="725" t="s">
        <v>68</v>
      </c>
      <c r="H1051" s="765"/>
      <c r="I1051" s="765"/>
      <c r="J1051" s="766">
        <f>$J$93</f>
        <v>2023</v>
      </c>
      <c r="K1051" s="554"/>
      <c r="L1051" s="1536" t="s">
        <v>69</v>
      </c>
      <c r="M1051" s="1536"/>
      <c r="N1051" s="1536"/>
      <c r="O1051" s="1536"/>
      <c r="P1051" s="426"/>
    </row>
    <row r="1052" spans="2:16">
      <c r="C1052" s="764" t="s">
        <v>70</v>
      </c>
      <c r="D1052" s="809">
        <v>2014</v>
      </c>
      <c r="E1052" s="764" t="s">
        <v>71</v>
      </c>
      <c r="F1052" s="765"/>
      <c r="G1052" s="765"/>
      <c r="I1052" s="172"/>
      <c r="J1052" s="810">
        <f>IF(H1045="",0,$F$17)</f>
        <v>0</v>
      </c>
      <c r="K1052" s="767"/>
      <c r="L1052" s="730" t="s">
        <v>277</v>
      </c>
      <c r="P1052" s="426"/>
    </row>
    <row r="1053" spans="2:16">
      <c r="C1053" s="764" t="s">
        <v>72</v>
      </c>
      <c r="D1053" s="808">
        <v>12</v>
      </c>
      <c r="E1053" s="764" t="s">
        <v>73</v>
      </c>
      <c r="F1053" s="765"/>
      <c r="G1053" s="765"/>
      <c r="I1053" s="172"/>
      <c r="J1053" s="768">
        <f>$F$70</f>
        <v>0.14450383244078713</v>
      </c>
      <c r="K1053" s="769"/>
      <c r="L1053" s="313" t="str">
        <f>"          INPUT TRUE-UP ARR (WITH &amp; WITHOUT INCENTIVES) FROM EACH PRIOR YEAR"</f>
        <v xml:space="preserve">          INPUT TRUE-UP ARR (WITH &amp; WITHOUT INCENTIVES) FROM EACH PRIOR YEAR</v>
      </c>
      <c r="P1053" s="426"/>
    </row>
    <row r="1054" spans="2:16">
      <c r="C1054" s="764" t="s">
        <v>74</v>
      </c>
      <c r="D1054" s="770">
        <f>H$79</f>
        <v>35</v>
      </c>
      <c r="E1054" s="764" t="s">
        <v>75</v>
      </c>
      <c r="F1054" s="765"/>
      <c r="G1054" s="765"/>
      <c r="I1054" s="172"/>
      <c r="J1054" s="768">
        <f>IF(H1045="",+J1053,$F$69)</f>
        <v>0.14450383244078713</v>
      </c>
      <c r="K1054" s="771"/>
      <c r="L1054" s="313" t="s">
        <v>157</v>
      </c>
      <c r="M1054" s="771"/>
      <c r="N1054" s="771"/>
      <c r="O1054" s="771"/>
      <c r="P1054" s="426"/>
    </row>
    <row r="1055" spans="2:16" ht="13.5" thickBot="1">
      <c r="C1055" s="764" t="s">
        <v>76</v>
      </c>
      <c r="D1055" s="807" t="s">
        <v>808</v>
      </c>
      <c r="E1055" s="772" t="s">
        <v>77</v>
      </c>
      <c r="F1055" s="773"/>
      <c r="G1055" s="773"/>
      <c r="H1055" s="774"/>
      <c r="I1055" s="774"/>
      <c r="J1055" s="752">
        <f>IF(D1051=0,0,D1051/D1054)</f>
        <v>601678.66742857138</v>
      </c>
      <c r="K1055" s="730"/>
      <c r="L1055" s="730" t="s">
        <v>158</v>
      </c>
      <c r="M1055" s="730"/>
      <c r="N1055" s="730"/>
      <c r="O1055" s="730"/>
      <c r="P1055" s="426"/>
    </row>
    <row r="1056" spans="2:16" ht="38.25">
      <c r="B1056" s="845"/>
      <c r="C1056" s="775" t="s">
        <v>67</v>
      </c>
      <c r="D1056" s="776" t="s">
        <v>78</v>
      </c>
      <c r="E1056" s="777" t="s">
        <v>79</v>
      </c>
      <c r="F1056" s="776" t="s">
        <v>80</v>
      </c>
      <c r="G1056" s="776" t="s">
        <v>238</v>
      </c>
      <c r="H1056" s="777" t="s">
        <v>151</v>
      </c>
      <c r="I1056" s="778" t="s">
        <v>151</v>
      </c>
      <c r="J1056" s="775" t="s">
        <v>90</v>
      </c>
      <c r="K1056" s="779"/>
      <c r="L1056" s="777" t="s">
        <v>153</v>
      </c>
      <c r="M1056" s="777" t="s">
        <v>159</v>
      </c>
      <c r="N1056" s="777" t="s">
        <v>153</v>
      </c>
      <c r="O1056" s="777" t="s">
        <v>161</v>
      </c>
      <c r="P1056" s="777" t="s">
        <v>81</v>
      </c>
    </row>
    <row r="1057" spans="3:16" ht="13.5" thickBot="1">
      <c r="C1057" s="781" t="s">
        <v>469</v>
      </c>
      <c r="D1057" s="782" t="s">
        <v>470</v>
      </c>
      <c r="E1057" s="781" t="s">
        <v>363</v>
      </c>
      <c r="F1057" s="782" t="s">
        <v>470</v>
      </c>
      <c r="G1057" s="782" t="s">
        <v>470</v>
      </c>
      <c r="H1057" s="783" t="s">
        <v>93</v>
      </c>
      <c r="I1057" s="784" t="s">
        <v>95</v>
      </c>
      <c r="J1057" s="785" t="s">
        <v>15</v>
      </c>
      <c r="K1057" s="786"/>
      <c r="L1057" s="783" t="s">
        <v>82</v>
      </c>
      <c r="M1057" s="783" t="s">
        <v>82</v>
      </c>
      <c r="N1057" s="783" t="s">
        <v>255</v>
      </c>
      <c r="O1057" s="783" t="s">
        <v>255</v>
      </c>
      <c r="P1057" s="783" t="s">
        <v>255</v>
      </c>
    </row>
    <row r="1058" spans="3:16">
      <c r="C1058" s="788">
        <f>IF(D1052= "","-",D1052)</f>
        <v>2014</v>
      </c>
      <c r="D1058" s="736">
        <f>+D1051</f>
        <v>21058753.359999999</v>
      </c>
      <c r="E1058" s="794">
        <f>+J1055/12*(12-D1053)</f>
        <v>0</v>
      </c>
      <c r="F1058" s="843">
        <f t="shared" ref="F1058:F1117" si="93">+D1058-E1058</f>
        <v>21058753.359999999</v>
      </c>
      <c r="G1058" s="736">
        <f>+(D1058+F1058)/2</f>
        <v>21058753.359999999</v>
      </c>
      <c r="H1058" s="790">
        <f>+J1053*G1058+E1058</f>
        <v>3043070.5669453028</v>
      </c>
      <c r="I1058" s="791">
        <f>+J1054*G1058+E1058</f>
        <v>3043070.5669453028</v>
      </c>
      <c r="J1058" s="792">
        <f>+I1058-H1058</f>
        <v>0</v>
      </c>
      <c r="K1058" s="792"/>
      <c r="L1058" s="811">
        <v>2052447</v>
      </c>
      <c r="M1058" s="844">
        <f t="shared" ref="M1058:M1117" si="94">IF(L1058&lt;&gt;0,+H1058-L1058,0)</f>
        <v>990623.56694530277</v>
      </c>
      <c r="N1058" s="811">
        <v>2052447</v>
      </c>
      <c r="O1058" s="844">
        <f t="shared" ref="O1058:O1117" si="95">IF(N1058&lt;&gt;0,+I1058-N1058,0)</f>
        <v>990623.56694530277</v>
      </c>
      <c r="P1058" s="844">
        <f t="shared" ref="P1058:P1117" si="96">+O1058-M1058</f>
        <v>0</v>
      </c>
    </row>
    <row r="1059" spans="3:16">
      <c r="C1059" s="788">
        <f>IF(D1052="","-",+C1058+1)</f>
        <v>2015</v>
      </c>
      <c r="D1059" s="736">
        <f t="shared" ref="D1059:D1117" si="97">F1058</f>
        <v>21058753.359999999</v>
      </c>
      <c r="E1059" s="789">
        <f>IF(D1059&gt;$J$1055,$J$1055,D1059)</f>
        <v>601678.66742857138</v>
      </c>
      <c r="F1059" s="789">
        <f t="shared" si="93"/>
        <v>20457074.692571428</v>
      </c>
      <c r="G1059" s="736">
        <f t="shared" ref="G1059:G1117" si="98">+(D1059+F1059)/2</f>
        <v>20757914.026285715</v>
      </c>
      <c r="H1059" s="794">
        <f>+J1053*G1059+E1059</f>
        <v>3601276.797703227</v>
      </c>
      <c r="I1059" s="795">
        <f>+J1054*G1059+E1059</f>
        <v>3601276.797703227</v>
      </c>
      <c r="J1059" s="792">
        <f>+I1059-H1059</f>
        <v>0</v>
      </c>
      <c r="K1059" s="792"/>
      <c r="L1059" s="812">
        <v>2695147</v>
      </c>
      <c r="M1059" s="792">
        <f t="shared" si="94"/>
        <v>906129.79770322703</v>
      </c>
      <c r="N1059" s="812">
        <v>2695147</v>
      </c>
      <c r="O1059" s="792">
        <f t="shared" si="95"/>
        <v>906129.79770322703</v>
      </c>
      <c r="P1059" s="792">
        <f t="shared" si="96"/>
        <v>0</v>
      </c>
    </row>
    <row r="1060" spans="3:16">
      <c r="C1060" s="788">
        <f>IF(D1052="","-",+C1059+1)</f>
        <v>2016</v>
      </c>
      <c r="D1060" s="736">
        <f t="shared" si="97"/>
        <v>20457074.692571428</v>
      </c>
      <c r="E1060" s="789">
        <f t="shared" ref="E1060:E1117" si="99">IF(D1060&gt;$J$1055,$J$1055,D1060)</f>
        <v>601678.66742857138</v>
      </c>
      <c r="F1060" s="789">
        <f t="shared" si="93"/>
        <v>19855396.025142856</v>
      </c>
      <c r="G1060" s="736">
        <f t="shared" si="98"/>
        <v>20156235.35885714</v>
      </c>
      <c r="H1060" s="794">
        <f>+J1053*G1060+E1060</f>
        <v>3514331.9243619321</v>
      </c>
      <c r="I1060" s="795">
        <f>+J1054*G1060+E1060</f>
        <v>3514331.9243619321</v>
      </c>
      <c r="J1060" s="792">
        <f t="shared" ref="J1060:J1117" si="100">+I1060-H1060</f>
        <v>0</v>
      </c>
      <c r="K1060" s="792"/>
      <c r="L1060" s="812">
        <v>3014861</v>
      </c>
      <c r="M1060" s="792">
        <f t="shared" si="94"/>
        <v>499470.92436193209</v>
      </c>
      <c r="N1060" s="812">
        <v>3014861</v>
      </c>
      <c r="O1060" s="792">
        <f t="shared" si="95"/>
        <v>499470.92436193209</v>
      </c>
      <c r="P1060" s="792">
        <f t="shared" si="96"/>
        <v>0</v>
      </c>
    </row>
    <row r="1061" spans="3:16">
      <c r="C1061" s="788">
        <f>IF(D1052="","-",+C1060+1)</f>
        <v>2017</v>
      </c>
      <c r="D1061" s="1321">
        <f t="shared" si="97"/>
        <v>19855396.025142856</v>
      </c>
      <c r="E1061" s="789">
        <f t="shared" si="99"/>
        <v>601678.66742857138</v>
      </c>
      <c r="F1061" s="789">
        <f t="shared" si="93"/>
        <v>19253717.357714284</v>
      </c>
      <c r="G1061" s="736">
        <f t="shared" si="98"/>
        <v>19554556.691428572</v>
      </c>
      <c r="H1061" s="794">
        <f>+J1053*G1061+E1061</f>
        <v>3427387.0510206386</v>
      </c>
      <c r="I1061" s="795">
        <f>+J1054*G1061+E1061</f>
        <v>3427387.0510206386</v>
      </c>
      <c r="J1061" s="792">
        <f t="shared" si="100"/>
        <v>0</v>
      </c>
      <c r="K1061" s="792"/>
      <c r="L1061" s="812">
        <v>3618083</v>
      </c>
      <c r="M1061" s="792">
        <f t="shared" si="94"/>
        <v>-190695.94897936145</v>
      </c>
      <c r="N1061" s="812">
        <v>3618083</v>
      </c>
      <c r="O1061" s="792">
        <f t="shared" si="95"/>
        <v>-190695.94897936145</v>
      </c>
      <c r="P1061" s="792">
        <f t="shared" si="96"/>
        <v>0</v>
      </c>
    </row>
    <row r="1062" spans="3:16">
      <c r="C1062" s="788">
        <f>IF(D1052="","-",+C1061+1)</f>
        <v>2018</v>
      </c>
      <c r="D1062" s="1402">
        <f t="shared" si="97"/>
        <v>19253717.357714284</v>
      </c>
      <c r="E1062" s="789">
        <f t="shared" si="99"/>
        <v>601678.66742857138</v>
      </c>
      <c r="F1062" s="789">
        <f t="shared" si="93"/>
        <v>18652038.690285712</v>
      </c>
      <c r="G1062" s="736">
        <f t="shared" si="98"/>
        <v>18952878.023999996</v>
      </c>
      <c r="H1062" s="794">
        <f>+J1053*G1062+E1062</f>
        <v>3340442.1776793436</v>
      </c>
      <c r="I1062" s="795">
        <f>+J1054*G1062+E1062</f>
        <v>3340442.1776793436</v>
      </c>
      <c r="J1062" s="792">
        <f t="shared" si="100"/>
        <v>0</v>
      </c>
      <c r="K1062" s="792"/>
      <c r="L1062" s="812">
        <v>3216698</v>
      </c>
      <c r="M1062" s="792">
        <f t="shared" si="94"/>
        <v>123744.17767934361</v>
      </c>
      <c r="N1062" s="812">
        <v>3216698</v>
      </c>
      <c r="O1062" s="792">
        <f t="shared" si="95"/>
        <v>123744.17767934361</v>
      </c>
      <c r="P1062" s="792">
        <f t="shared" si="96"/>
        <v>0</v>
      </c>
    </row>
    <row r="1063" spans="3:16">
      <c r="C1063" s="788">
        <f>IF(D1052="","-",+C1062+1)</f>
        <v>2019</v>
      </c>
      <c r="D1063" s="1321">
        <f t="shared" si="97"/>
        <v>18652038.690285712</v>
      </c>
      <c r="E1063" s="789">
        <f t="shared" si="99"/>
        <v>601678.66742857138</v>
      </c>
      <c r="F1063" s="789">
        <f t="shared" si="93"/>
        <v>18050360.022857141</v>
      </c>
      <c r="G1063" s="736">
        <f t="shared" si="98"/>
        <v>18351199.356571428</v>
      </c>
      <c r="H1063" s="794">
        <f>+J1053*G1063+E1063</f>
        <v>3253497.3043380496</v>
      </c>
      <c r="I1063" s="795">
        <f>+J1054*G1063+E1063</f>
        <v>3253497.3043380496</v>
      </c>
      <c r="J1063" s="792">
        <f t="shared" si="100"/>
        <v>0</v>
      </c>
      <c r="K1063" s="792"/>
      <c r="L1063" s="812">
        <v>3297994.9861773662</v>
      </c>
      <c r="M1063" s="792">
        <f t="shared" si="94"/>
        <v>-44497.681839316618</v>
      </c>
      <c r="N1063" s="812">
        <v>3297994.9861773662</v>
      </c>
      <c r="O1063" s="792">
        <f t="shared" si="95"/>
        <v>-44497.681839316618</v>
      </c>
      <c r="P1063" s="792">
        <f t="shared" si="96"/>
        <v>0</v>
      </c>
    </row>
    <row r="1064" spans="3:16">
      <c r="C1064" s="788">
        <f>IF(D1052="","-",+C1063+1)</f>
        <v>2020</v>
      </c>
      <c r="D1064" s="1321">
        <f t="shared" si="97"/>
        <v>18050360.022857141</v>
      </c>
      <c r="E1064" s="789">
        <f t="shared" si="99"/>
        <v>601678.66742857138</v>
      </c>
      <c r="F1064" s="789">
        <f t="shared" si="93"/>
        <v>17448681.355428569</v>
      </c>
      <c r="G1064" s="736">
        <f t="shared" si="98"/>
        <v>17749520.689142853</v>
      </c>
      <c r="H1064" s="794">
        <f>+J1053*G1064+E1064</f>
        <v>3166552.4309967547</v>
      </c>
      <c r="I1064" s="795">
        <f>+J1054*G1064+E1064</f>
        <v>3166552.4309967547</v>
      </c>
      <c r="J1064" s="792">
        <f t="shared" si="100"/>
        <v>0</v>
      </c>
      <c r="K1064" s="792"/>
      <c r="L1064" s="812">
        <v>3455602.536071002</v>
      </c>
      <c r="M1064" s="792">
        <f t="shared" si="94"/>
        <v>-289050.10507424735</v>
      </c>
      <c r="N1064" s="812">
        <v>3455602.536071002</v>
      </c>
      <c r="O1064" s="792">
        <f t="shared" si="95"/>
        <v>-289050.10507424735</v>
      </c>
      <c r="P1064" s="792">
        <f t="shared" si="96"/>
        <v>0</v>
      </c>
    </row>
    <row r="1065" spans="3:16">
      <c r="C1065" s="788">
        <f>IF(D1052="","-",+C1064+1)</f>
        <v>2021</v>
      </c>
      <c r="D1065" s="1321">
        <f t="shared" si="97"/>
        <v>17448681.355428569</v>
      </c>
      <c r="E1065" s="789">
        <f t="shared" si="99"/>
        <v>601678.66742857138</v>
      </c>
      <c r="F1065" s="789">
        <f t="shared" si="93"/>
        <v>16847002.687999997</v>
      </c>
      <c r="G1065" s="736">
        <f t="shared" si="98"/>
        <v>17147842.021714285</v>
      </c>
      <c r="H1065" s="794">
        <f>+J1053*G1065+E1065</f>
        <v>3079607.5576554607</v>
      </c>
      <c r="I1065" s="795">
        <f>+J1054*G1065+E1065</f>
        <v>3079607.5576554607</v>
      </c>
      <c r="J1065" s="792">
        <f t="shared" si="100"/>
        <v>0</v>
      </c>
      <c r="K1065" s="792"/>
      <c r="L1065" s="812">
        <v>3118794.4648870993</v>
      </c>
      <c r="M1065" s="792">
        <f t="shared" si="94"/>
        <v>-39186.907231638674</v>
      </c>
      <c r="N1065" s="812">
        <v>3118794.4648870993</v>
      </c>
      <c r="O1065" s="792">
        <f t="shared" si="95"/>
        <v>-39186.907231638674</v>
      </c>
      <c r="P1065" s="792">
        <f t="shared" si="96"/>
        <v>0</v>
      </c>
    </row>
    <row r="1066" spans="3:16">
      <c r="C1066" s="788">
        <f>IF(D1052="","-",+C1065+1)</f>
        <v>2022</v>
      </c>
      <c r="D1066" s="736">
        <f t="shared" si="97"/>
        <v>16847002.687999997</v>
      </c>
      <c r="E1066" s="789">
        <f t="shared" si="99"/>
        <v>601678.66742857138</v>
      </c>
      <c r="F1066" s="789">
        <f t="shared" si="93"/>
        <v>16245324.020571426</v>
      </c>
      <c r="G1066" s="736">
        <f t="shared" si="98"/>
        <v>16546163.354285711</v>
      </c>
      <c r="H1066" s="794">
        <f>+J1053*G1066+E1066</f>
        <v>2992662.6843141662</v>
      </c>
      <c r="I1066" s="795">
        <f>+J1054*G1066+E1066</f>
        <v>2992662.6843141662</v>
      </c>
      <c r="J1066" s="792">
        <f t="shared" si="100"/>
        <v>0</v>
      </c>
      <c r="K1066" s="792"/>
      <c r="L1066" s="812">
        <v>3113837.1721860152</v>
      </c>
      <c r="M1066" s="792">
        <f t="shared" si="94"/>
        <v>-121174.48787184898</v>
      </c>
      <c r="N1066" s="812">
        <v>3113837.1721860152</v>
      </c>
      <c r="O1066" s="792">
        <f t="shared" si="95"/>
        <v>-121174.48787184898</v>
      </c>
      <c r="P1066" s="792">
        <f t="shared" si="96"/>
        <v>0</v>
      </c>
    </row>
    <row r="1067" spans="3:16">
      <c r="C1067" s="788">
        <f>IF(D1052="","-",+C1066+1)</f>
        <v>2023</v>
      </c>
      <c r="D1067" s="736">
        <f t="shared" si="97"/>
        <v>16245324.020571426</v>
      </c>
      <c r="E1067" s="789">
        <f t="shared" si="99"/>
        <v>601678.66742857138</v>
      </c>
      <c r="F1067" s="789">
        <f t="shared" si="93"/>
        <v>15643645.353142854</v>
      </c>
      <c r="G1067" s="736">
        <f t="shared" si="98"/>
        <v>15944484.68685714</v>
      </c>
      <c r="H1067" s="794">
        <f>+J1053*G1067+E1067</f>
        <v>2905717.8109728717</v>
      </c>
      <c r="I1067" s="795">
        <f>+J1054*G1067+E1067</f>
        <v>2905717.8109728717</v>
      </c>
      <c r="J1067" s="792">
        <f t="shared" si="100"/>
        <v>0</v>
      </c>
      <c r="K1067" s="792"/>
      <c r="L1067" s="812">
        <v>3034357.3074561041</v>
      </c>
      <c r="M1067" s="792">
        <f t="shared" si="94"/>
        <v>-128639.49648323236</v>
      </c>
      <c r="N1067" s="812">
        <v>3034357.3074561041</v>
      </c>
      <c r="O1067" s="792">
        <f t="shared" si="95"/>
        <v>-128639.49648323236</v>
      </c>
      <c r="P1067" s="792">
        <f t="shared" si="96"/>
        <v>0</v>
      </c>
    </row>
    <row r="1068" spans="3:16">
      <c r="C1068" s="788">
        <f>IF(D1052="","-",+C1067+1)</f>
        <v>2024</v>
      </c>
      <c r="D1068" s="736">
        <f t="shared" si="97"/>
        <v>15643645.353142854</v>
      </c>
      <c r="E1068" s="789">
        <f t="shared" si="99"/>
        <v>601678.66742857138</v>
      </c>
      <c r="F1068" s="789">
        <f t="shared" si="93"/>
        <v>15041966.685714282</v>
      </c>
      <c r="G1068" s="736">
        <f t="shared" si="98"/>
        <v>15342806.019428568</v>
      </c>
      <c r="H1068" s="794">
        <f>+J1053*G1068+E1068</f>
        <v>2818772.9376315773</v>
      </c>
      <c r="I1068" s="795">
        <f>+J1054*G1068+E1068</f>
        <v>2818772.9376315773</v>
      </c>
      <c r="J1068" s="792">
        <f t="shared" si="100"/>
        <v>0</v>
      </c>
      <c r="K1068" s="792"/>
      <c r="L1068" s="812"/>
      <c r="M1068" s="792">
        <f t="shared" si="94"/>
        <v>0</v>
      </c>
      <c r="N1068" s="812"/>
      <c r="O1068" s="792">
        <f t="shared" si="95"/>
        <v>0</v>
      </c>
      <c r="P1068" s="792">
        <f t="shared" si="96"/>
        <v>0</v>
      </c>
    </row>
    <row r="1069" spans="3:16">
      <c r="C1069" s="788">
        <f>IF(D1052="","-",+C1068+1)</f>
        <v>2025</v>
      </c>
      <c r="D1069" s="736">
        <f t="shared" si="97"/>
        <v>15041966.685714282</v>
      </c>
      <c r="E1069" s="789">
        <f t="shared" si="99"/>
        <v>601678.66742857138</v>
      </c>
      <c r="F1069" s="789">
        <f t="shared" si="93"/>
        <v>14440288.01828571</v>
      </c>
      <c r="G1069" s="736">
        <f t="shared" si="98"/>
        <v>14741127.351999996</v>
      </c>
      <c r="H1069" s="794">
        <f>+J1053*G1069+E1069</f>
        <v>2731828.0642902828</v>
      </c>
      <c r="I1069" s="795">
        <f>+J1054*G1069+E1069</f>
        <v>2731828.0642902828</v>
      </c>
      <c r="J1069" s="792">
        <f t="shared" si="100"/>
        <v>0</v>
      </c>
      <c r="K1069" s="792"/>
      <c r="L1069" s="812"/>
      <c r="M1069" s="792">
        <f t="shared" si="94"/>
        <v>0</v>
      </c>
      <c r="N1069" s="812"/>
      <c r="O1069" s="792">
        <f t="shared" si="95"/>
        <v>0</v>
      </c>
      <c r="P1069" s="792">
        <f t="shared" si="96"/>
        <v>0</v>
      </c>
    </row>
    <row r="1070" spans="3:16">
      <c r="C1070" s="788">
        <f>IF(D1052="","-",+C1069+1)</f>
        <v>2026</v>
      </c>
      <c r="D1070" s="736">
        <f t="shared" si="97"/>
        <v>14440288.01828571</v>
      </c>
      <c r="E1070" s="789">
        <f t="shared" si="99"/>
        <v>601678.66742857138</v>
      </c>
      <c r="F1070" s="789">
        <f t="shared" si="93"/>
        <v>13838609.350857139</v>
      </c>
      <c r="G1070" s="736">
        <f t="shared" si="98"/>
        <v>14139448.684571424</v>
      </c>
      <c r="H1070" s="794">
        <f>+J1053*G1070+E1070</f>
        <v>2644883.1909489883</v>
      </c>
      <c r="I1070" s="795">
        <f>+J1054*G1070+E1070</f>
        <v>2644883.1909489883</v>
      </c>
      <c r="J1070" s="792">
        <f t="shared" si="100"/>
        <v>0</v>
      </c>
      <c r="K1070" s="792"/>
      <c r="L1070" s="812"/>
      <c r="M1070" s="792">
        <f t="shared" si="94"/>
        <v>0</v>
      </c>
      <c r="N1070" s="812"/>
      <c r="O1070" s="792">
        <f t="shared" si="95"/>
        <v>0</v>
      </c>
      <c r="P1070" s="792">
        <f t="shared" si="96"/>
        <v>0</v>
      </c>
    </row>
    <row r="1071" spans="3:16">
      <c r="C1071" s="788">
        <f>IF(D1052="","-",+C1070+1)</f>
        <v>2027</v>
      </c>
      <c r="D1071" s="736">
        <f t="shared" si="97"/>
        <v>13838609.350857139</v>
      </c>
      <c r="E1071" s="789">
        <f t="shared" si="99"/>
        <v>601678.66742857138</v>
      </c>
      <c r="F1071" s="789">
        <f t="shared" si="93"/>
        <v>13236930.683428567</v>
      </c>
      <c r="G1071" s="736">
        <f t="shared" si="98"/>
        <v>13537770.017142853</v>
      </c>
      <c r="H1071" s="794">
        <f>+J1053*G1071+E1071</f>
        <v>2557938.3176076938</v>
      </c>
      <c r="I1071" s="795">
        <f>+J1054*G1071+E1071</f>
        <v>2557938.3176076938</v>
      </c>
      <c r="J1071" s="792">
        <f t="shared" si="100"/>
        <v>0</v>
      </c>
      <c r="K1071" s="792"/>
      <c r="L1071" s="812"/>
      <c r="M1071" s="792">
        <f t="shared" si="94"/>
        <v>0</v>
      </c>
      <c r="N1071" s="812"/>
      <c r="O1071" s="792">
        <f t="shared" si="95"/>
        <v>0</v>
      </c>
      <c r="P1071" s="792">
        <f t="shared" si="96"/>
        <v>0</v>
      </c>
    </row>
    <row r="1072" spans="3:16">
      <c r="C1072" s="788">
        <f>IF(D1052="","-",+C1071+1)</f>
        <v>2028</v>
      </c>
      <c r="D1072" s="736">
        <f t="shared" si="97"/>
        <v>13236930.683428567</v>
      </c>
      <c r="E1072" s="789">
        <f t="shared" si="99"/>
        <v>601678.66742857138</v>
      </c>
      <c r="F1072" s="789">
        <f t="shared" si="93"/>
        <v>12635252.015999995</v>
      </c>
      <c r="G1072" s="736">
        <f t="shared" si="98"/>
        <v>12936091.349714281</v>
      </c>
      <c r="H1072" s="794">
        <f>+J1053*G1072+E1072</f>
        <v>2470993.4442663998</v>
      </c>
      <c r="I1072" s="795">
        <f>+J1054*G1072+E1072</f>
        <v>2470993.4442663998</v>
      </c>
      <c r="J1072" s="792">
        <f t="shared" si="100"/>
        <v>0</v>
      </c>
      <c r="K1072" s="792"/>
      <c r="L1072" s="812"/>
      <c r="M1072" s="792">
        <f t="shared" si="94"/>
        <v>0</v>
      </c>
      <c r="N1072" s="812"/>
      <c r="O1072" s="792">
        <f t="shared" si="95"/>
        <v>0</v>
      </c>
      <c r="P1072" s="792">
        <f t="shared" si="96"/>
        <v>0</v>
      </c>
    </row>
    <row r="1073" spans="3:16">
      <c r="C1073" s="788">
        <f>IF(D1052="","-",+C1072+1)</f>
        <v>2029</v>
      </c>
      <c r="D1073" s="736">
        <f t="shared" si="97"/>
        <v>12635252.015999995</v>
      </c>
      <c r="E1073" s="789">
        <f t="shared" si="99"/>
        <v>601678.66742857138</v>
      </c>
      <c r="F1073" s="789">
        <f t="shared" si="93"/>
        <v>12033573.348571423</v>
      </c>
      <c r="G1073" s="736">
        <f t="shared" si="98"/>
        <v>12334412.682285709</v>
      </c>
      <c r="H1073" s="794">
        <f>+J1053*G1073+E1073</f>
        <v>2384048.5709251054</v>
      </c>
      <c r="I1073" s="795">
        <f>+J1054*G1073+E1073</f>
        <v>2384048.5709251054</v>
      </c>
      <c r="J1073" s="792">
        <f t="shared" si="100"/>
        <v>0</v>
      </c>
      <c r="K1073" s="792"/>
      <c r="L1073" s="812"/>
      <c r="M1073" s="792">
        <f t="shared" si="94"/>
        <v>0</v>
      </c>
      <c r="N1073" s="812"/>
      <c r="O1073" s="792">
        <f t="shared" si="95"/>
        <v>0</v>
      </c>
      <c r="P1073" s="792">
        <f t="shared" si="96"/>
        <v>0</v>
      </c>
    </row>
    <row r="1074" spans="3:16">
      <c r="C1074" s="788">
        <f>IF(D1052="","-",+C1073+1)</f>
        <v>2030</v>
      </c>
      <c r="D1074" s="736">
        <f t="shared" si="97"/>
        <v>12033573.348571423</v>
      </c>
      <c r="E1074" s="789">
        <f t="shared" si="99"/>
        <v>601678.66742857138</v>
      </c>
      <c r="F1074" s="789">
        <f t="shared" si="93"/>
        <v>11431894.681142852</v>
      </c>
      <c r="G1074" s="736">
        <f t="shared" si="98"/>
        <v>11732734.014857138</v>
      </c>
      <c r="H1074" s="794">
        <f>+J1053*G1074+E1074</f>
        <v>2297103.6975838109</v>
      </c>
      <c r="I1074" s="795">
        <f>+J1054*G1074+E1074</f>
        <v>2297103.6975838109</v>
      </c>
      <c r="J1074" s="792">
        <f t="shared" si="100"/>
        <v>0</v>
      </c>
      <c r="K1074" s="792"/>
      <c r="L1074" s="812"/>
      <c r="M1074" s="792">
        <f t="shared" si="94"/>
        <v>0</v>
      </c>
      <c r="N1074" s="812"/>
      <c r="O1074" s="792">
        <f t="shared" si="95"/>
        <v>0</v>
      </c>
      <c r="P1074" s="792">
        <f t="shared" si="96"/>
        <v>0</v>
      </c>
    </row>
    <row r="1075" spans="3:16">
      <c r="C1075" s="788">
        <f>IF(D1052="","-",+C1074+1)</f>
        <v>2031</v>
      </c>
      <c r="D1075" s="736">
        <f t="shared" si="97"/>
        <v>11431894.681142852</v>
      </c>
      <c r="E1075" s="789">
        <f t="shared" si="99"/>
        <v>601678.66742857138</v>
      </c>
      <c r="F1075" s="789">
        <f t="shared" si="93"/>
        <v>10830216.01371428</v>
      </c>
      <c r="G1075" s="736">
        <f t="shared" si="98"/>
        <v>11131055.347428566</v>
      </c>
      <c r="H1075" s="794">
        <f>+J1053*G1075+E1075</f>
        <v>2210158.8242425164</v>
      </c>
      <c r="I1075" s="795">
        <f>+J1054*G1075+E1075</f>
        <v>2210158.8242425164</v>
      </c>
      <c r="J1075" s="792">
        <f t="shared" si="100"/>
        <v>0</v>
      </c>
      <c r="K1075" s="792"/>
      <c r="L1075" s="812"/>
      <c r="M1075" s="792">
        <f t="shared" si="94"/>
        <v>0</v>
      </c>
      <c r="N1075" s="812"/>
      <c r="O1075" s="792">
        <f t="shared" si="95"/>
        <v>0</v>
      </c>
      <c r="P1075" s="792">
        <f t="shared" si="96"/>
        <v>0</v>
      </c>
    </row>
    <row r="1076" spans="3:16">
      <c r="C1076" s="788">
        <f>IF(D1052="","-",+C1075+1)</f>
        <v>2032</v>
      </c>
      <c r="D1076" s="736">
        <f t="shared" si="97"/>
        <v>10830216.01371428</v>
      </c>
      <c r="E1076" s="789">
        <f t="shared" si="99"/>
        <v>601678.66742857138</v>
      </c>
      <c r="F1076" s="789">
        <f t="shared" si="93"/>
        <v>10228537.346285708</v>
      </c>
      <c r="G1076" s="736">
        <f t="shared" si="98"/>
        <v>10529376.679999994</v>
      </c>
      <c r="H1076" s="794">
        <f>+J1053*G1076+E1076</f>
        <v>2123213.9509012219</v>
      </c>
      <c r="I1076" s="795">
        <f>+J1054*G1076+E1076</f>
        <v>2123213.9509012219</v>
      </c>
      <c r="J1076" s="792">
        <f t="shared" si="100"/>
        <v>0</v>
      </c>
      <c r="K1076" s="792"/>
      <c r="L1076" s="812"/>
      <c r="M1076" s="792">
        <f t="shared" si="94"/>
        <v>0</v>
      </c>
      <c r="N1076" s="812"/>
      <c r="O1076" s="792">
        <f t="shared" si="95"/>
        <v>0</v>
      </c>
      <c r="P1076" s="792">
        <f t="shared" si="96"/>
        <v>0</v>
      </c>
    </row>
    <row r="1077" spans="3:16">
      <c r="C1077" s="788">
        <f>IF(D1052="","-",+C1076+1)</f>
        <v>2033</v>
      </c>
      <c r="D1077" s="736">
        <f t="shared" si="97"/>
        <v>10228537.346285708</v>
      </c>
      <c r="E1077" s="789">
        <f t="shared" si="99"/>
        <v>601678.66742857138</v>
      </c>
      <c r="F1077" s="789">
        <f t="shared" si="93"/>
        <v>9626858.6788571365</v>
      </c>
      <c r="G1077" s="736">
        <f t="shared" si="98"/>
        <v>9927698.0125714224</v>
      </c>
      <c r="H1077" s="794">
        <f>+J1053*G1077+E1077</f>
        <v>2036269.0775599275</v>
      </c>
      <c r="I1077" s="795">
        <f>+J1054*G1077+E1077</f>
        <v>2036269.0775599275</v>
      </c>
      <c r="J1077" s="792">
        <f t="shared" si="100"/>
        <v>0</v>
      </c>
      <c r="K1077" s="792"/>
      <c r="L1077" s="812"/>
      <c r="M1077" s="792">
        <f t="shared" si="94"/>
        <v>0</v>
      </c>
      <c r="N1077" s="812"/>
      <c r="O1077" s="792">
        <f t="shared" si="95"/>
        <v>0</v>
      </c>
      <c r="P1077" s="792">
        <f t="shared" si="96"/>
        <v>0</v>
      </c>
    </row>
    <row r="1078" spans="3:16">
      <c r="C1078" s="788">
        <f>IF(D1052="","-",+C1077+1)</f>
        <v>2034</v>
      </c>
      <c r="D1078" s="736">
        <f t="shared" si="97"/>
        <v>9626858.6788571365</v>
      </c>
      <c r="E1078" s="789">
        <f t="shared" si="99"/>
        <v>601678.66742857138</v>
      </c>
      <c r="F1078" s="789">
        <f t="shared" si="93"/>
        <v>9025180.0114285648</v>
      </c>
      <c r="G1078" s="736">
        <f t="shared" si="98"/>
        <v>9326019.3451428507</v>
      </c>
      <c r="H1078" s="794">
        <f>+J1053*G1078+E1078</f>
        <v>1949324.204218633</v>
      </c>
      <c r="I1078" s="795">
        <f>+J1054*G1078+E1078</f>
        <v>1949324.204218633</v>
      </c>
      <c r="J1078" s="792">
        <f t="shared" si="100"/>
        <v>0</v>
      </c>
      <c r="K1078" s="792"/>
      <c r="L1078" s="812"/>
      <c r="M1078" s="792">
        <f t="shared" si="94"/>
        <v>0</v>
      </c>
      <c r="N1078" s="812"/>
      <c r="O1078" s="792">
        <f t="shared" si="95"/>
        <v>0</v>
      </c>
      <c r="P1078" s="792">
        <f t="shared" si="96"/>
        <v>0</v>
      </c>
    </row>
    <row r="1079" spans="3:16">
      <c r="C1079" s="788">
        <f>IF(D1052="","-",+C1078+1)</f>
        <v>2035</v>
      </c>
      <c r="D1079" s="736">
        <f t="shared" si="97"/>
        <v>9025180.0114285648</v>
      </c>
      <c r="E1079" s="789">
        <f t="shared" si="99"/>
        <v>601678.66742857138</v>
      </c>
      <c r="F1079" s="789">
        <f t="shared" si="93"/>
        <v>8423501.3439999931</v>
      </c>
      <c r="G1079" s="736">
        <f t="shared" si="98"/>
        <v>8724340.6777142789</v>
      </c>
      <c r="H1079" s="794">
        <f>+J1053*G1079+E1079</f>
        <v>1862379.3308773385</v>
      </c>
      <c r="I1079" s="795">
        <f>+J1054*G1079+E1079</f>
        <v>1862379.3308773385</v>
      </c>
      <c r="J1079" s="792">
        <f t="shared" si="100"/>
        <v>0</v>
      </c>
      <c r="K1079" s="792"/>
      <c r="L1079" s="812"/>
      <c r="M1079" s="792">
        <f t="shared" si="94"/>
        <v>0</v>
      </c>
      <c r="N1079" s="812"/>
      <c r="O1079" s="792">
        <f t="shared" si="95"/>
        <v>0</v>
      </c>
      <c r="P1079" s="792">
        <f t="shared" si="96"/>
        <v>0</v>
      </c>
    </row>
    <row r="1080" spans="3:16">
      <c r="C1080" s="788">
        <f>IF(D1052="","-",+C1079+1)</f>
        <v>2036</v>
      </c>
      <c r="D1080" s="736">
        <f t="shared" si="97"/>
        <v>8423501.3439999931</v>
      </c>
      <c r="E1080" s="789">
        <f t="shared" si="99"/>
        <v>601678.66742857138</v>
      </c>
      <c r="F1080" s="789">
        <f t="shared" si="93"/>
        <v>7821822.6765714213</v>
      </c>
      <c r="G1080" s="736">
        <f t="shared" si="98"/>
        <v>8122662.0102857072</v>
      </c>
      <c r="H1080" s="794">
        <f>+J1053*G1080+E1080</f>
        <v>1775434.4575360445</v>
      </c>
      <c r="I1080" s="795">
        <f>+J1054*G1080+E1080</f>
        <v>1775434.4575360445</v>
      </c>
      <c r="J1080" s="792">
        <f t="shared" si="100"/>
        <v>0</v>
      </c>
      <c r="K1080" s="792"/>
      <c r="L1080" s="812"/>
      <c r="M1080" s="792">
        <f t="shared" si="94"/>
        <v>0</v>
      </c>
      <c r="N1080" s="812"/>
      <c r="O1080" s="792">
        <f t="shared" si="95"/>
        <v>0</v>
      </c>
      <c r="P1080" s="792">
        <f t="shared" si="96"/>
        <v>0</v>
      </c>
    </row>
    <row r="1081" spans="3:16">
      <c r="C1081" s="788">
        <f>IF(D1052="","-",+C1080+1)</f>
        <v>2037</v>
      </c>
      <c r="D1081" s="736">
        <f t="shared" si="97"/>
        <v>7821822.6765714213</v>
      </c>
      <c r="E1081" s="789">
        <f t="shared" si="99"/>
        <v>601678.66742857138</v>
      </c>
      <c r="F1081" s="789">
        <f t="shared" si="93"/>
        <v>7220144.0091428496</v>
      </c>
      <c r="G1081" s="736">
        <f t="shared" si="98"/>
        <v>7520983.3428571355</v>
      </c>
      <c r="H1081" s="794">
        <f>+J1053*G1081+E1081</f>
        <v>1688489.5841947501</v>
      </c>
      <c r="I1081" s="795">
        <f>+J1054*G1081+E1081</f>
        <v>1688489.5841947501</v>
      </c>
      <c r="J1081" s="792">
        <f t="shared" si="100"/>
        <v>0</v>
      </c>
      <c r="K1081" s="792"/>
      <c r="L1081" s="812"/>
      <c r="M1081" s="792">
        <f t="shared" si="94"/>
        <v>0</v>
      </c>
      <c r="N1081" s="812"/>
      <c r="O1081" s="792">
        <f t="shared" si="95"/>
        <v>0</v>
      </c>
      <c r="P1081" s="792">
        <f t="shared" si="96"/>
        <v>0</v>
      </c>
    </row>
    <row r="1082" spans="3:16">
      <c r="C1082" s="788">
        <f>IF(D1052="","-",+C1081+1)</f>
        <v>2038</v>
      </c>
      <c r="D1082" s="736">
        <f t="shared" si="97"/>
        <v>7220144.0091428496</v>
      </c>
      <c r="E1082" s="789">
        <f t="shared" si="99"/>
        <v>601678.66742857138</v>
      </c>
      <c r="F1082" s="789">
        <f t="shared" si="93"/>
        <v>6618465.3417142779</v>
      </c>
      <c r="G1082" s="736">
        <f t="shared" si="98"/>
        <v>6919304.6754285637</v>
      </c>
      <c r="H1082" s="794">
        <f>+J1053*G1082+E1082</f>
        <v>1601544.7108534556</v>
      </c>
      <c r="I1082" s="795">
        <f>+J1054*G1082+E1082</f>
        <v>1601544.7108534556</v>
      </c>
      <c r="J1082" s="792">
        <f t="shared" si="100"/>
        <v>0</v>
      </c>
      <c r="K1082" s="792"/>
      <c r="L1082" s="812"/>
      <c r="M1082" s="792">
        <f t="shared" si="94"/>
        <v>0</v>
      </c>
      <c r="N1082" s="812"/>
      <c r="O1082" s="792">
        <f t="shared" si="95"/>
        <v>0</v>
      </c>
      <c r="P1082" s="792">
        <f t="shared" si="96"/>
        <v>0</v>
      </c>
    </row>
    <row r="1083" spans="3:16">
      <c r="C1083" s="788">
        <f>IF(D1052="","-",+C1082+1)</f>
        <v>2039</v>
      </c>
      <c r="D1083" s="736">
        <f t="shared" si="97"/>
        <v>6618465.3417142779</v>
      </c>
      <c r="E1083" s="789">
        <f t="shared" si="99"/>
        <v>601678.66742857138</v>
      </c>
      <c r="F1083" s="789">
        <f t="shared" si="93"/>
        <v>6016786.6742857061</v>
      </c>
      <c r="G1083" s="736">
        <f t="shared" si="98"/>
        <v>6317626.007999992</v>
      </c>
      <c r="H1083" s="794">
        <f>+J1053*G1083+E1083</f>
        <v>1514599.8375121611</v>
      </c>
      <c r="I1083" s="795">
        <f>+J1054*G1083+E1083</f>
        <v>1514599.8375121611</v>
      </c>
      <c r="J1083" s="792">
        <f t="shared" si="100"/>
        <v>0</v>
      </c>
      <c r="K1083" s="792"/>
      <c r="L1083" s="812"/>
      <c r="M1083" s="792">
        <f t="shared" si="94"/>
        <v>0</v>
      </c>
      <c r="N1083" s="812"/>
      <c r="O1083" s="792">
        <f t="shared" si="95"/>
        <v>0</v>
      </c>
      <c r="P1083" s="792">
        <f t="shared" si="96"/>
        <v>0</v>
      </c>
    </row>
    <row r="1084" spans="3:16">
      <c r="C1084" s="788">
        <f>IF(D1052="","-",+C1083+1)</f>
        <v>2040</v>
      </c>
      <c r="D1084" s="736">
        <f t="shared" si="97"/>
        <v>6016786.6742857061</v>
      </c>
      <c r="E1084" s="789">
        <f t="shared" si="99"/>
        <v>601678.66742857138</v>
      </c>
      <c r="F1084" s="789">
        <f t="shared" si="93"/>
        <v>5415108.0068571344</v>
      </c>
      <c r="G1084" s="736">
        <f t="shared" si="98"/>
        <v>5715947.3405714203</v>
      </c>
      <c r="H1084" s="794">
        <f>+J1053*G1084+E1084</f>
        <v>1427654.9641708666</v>
      </c>
      <c r="I1084" s="795">
        <f>+J1054*G1084+E1084</f>
        <v>1427654.9641708666</v>
      </c>
      <c r="J1084" s="792">
        <f t="shared" si="100"/>
        <v>0</v>
      </c>
      <c r="K1084" s="792"/>
      <c r="L1084" s="812"/>
      <c r="M1084" s="792">
        <f t="shared" si="94"/>
        <v>0</v>
      </c>
      <c r="N1084" s="812"/>
      <c r="O1084" s="792">
        <f t="shared" si="95"/>
        <v>0</v>
      </c>
      <c r="P1084" s="792">
        <f t="shared" si="96"/>
        <v>0</v>
      </c>
    </row>
    <row r="1085" spans="3:16">
      <c r="C1085" s="788">
        <f>IF(D1052="","-",+C1084+1)</f>
        <v>2041</v>
      </c>
      <c r="D1085" s="736">
        <f t="shared" si="97"/>
        <v>5415108.0068571344</v>
      </c>
      <c r="E1085" s="789">
        <f t="shared" si="99"/>
        <v>601678.66742857138</v>
      </c>
      <c r="F1085" s="789">
        <f t="shared" si="93"/>
        <v>4813429.3394285627</v>
      </c>
      <c r="G1085" s="736">
        <f t="shared" si="98"/>
        <v>5114268.6731428485</v>
      </c>
      <c r="H1085" s="794">
        <f>+J1053*G1085+E1085</f>
        <v>1340710.0908295722</v>
      </c>
      <c r="I1085" s="795">
        <f>+J1054*G1085+E1085</f>
        <v>1340710.0908295722</v>
      </c>
      <c r="J1085" s="792">
        <f t="shared" si="100"/>
        <v>0</v>
      </c>
      <c r="K1085" s="792"/>
      <c r="L1085" s="812"/>
      <c r="M1085" s="792">
        <f t="shared" si="94"/>
        <v>0</v>
      </c>
      <c r="N1085" s="812"/>
      <c r="O1085" s="792">
        <f t="shared" si="95"/>
        <v>0</v>
      </c>
      <c r="P1085" s="792">
        <f t="shared" si="96"/>
        <v>0</v>
      </c>
    </row>
    <row r="1086" spans="3:16">
      <c r="C1086" s="788">
        <f>IF(D1052="","-",+C1085+1)</f>
        <v>2042</v>
      </c>
      <c r="D1086" s="736">
        <f t="shared" si="97"/>
        <v>4813429.3394285627</v>
      </c>
      <c r="E1086" s="789">
        <f t="shared" si="99"/>
        <v>601678.66742857138</v>
      </c>
      <c r="F1086" s="789">
        <f t="shared" si="93"/>
        <v>4211750.6719999909</v>
      </c>
      <c r="G1086" s="736">
        <f t="shared" si="98"/>
        <v>4512590.0057142768</v>
      </c>
      <c r="H1086" s="794">
        <f>+J1053*G1086+E1086</f>
        <v>1253765.2174882777</v>
      </c>
      <c r="I1086" s="795">
        <f>+J1054*G1086+E1086</f>
        <v>1253765.2174882777</v>
      </c>
      <c r="J1086" s="792">
        <f t="shared" si="100"/>
        <v>0</v>
      </c>
      <c r="K1086" s="792"/>
      <c r="L1086" s="812"/>
      <c r="M1086" s="792">
        <f t="shared" si="94"/>
        <v>0</v>
      </c>
      <c r="N1086" s="812"/>
      <c r="O1086" s="792">
        <f t="shared" si="95"/>
        <v>0</v>
      </c>
      <c r="P1086" s="792">
        <f t="shared" si="96"/>
        <v>0</v>
      </c>
    </row>
    <row r="1087" spans="3:16">
      <c r="C1087" s="788">
        <f>IF(D1052="","-",+C1086+1)</f>
        <v>2043</v>
      </c>
      <c r="D1087" s="736">
        <f t="shared" si="97"/>
        <v>4211750.6719999909</v>
      </c>
      <c r="E1087" s="789">
        <f t="shared" si="99"/>
        <v>601678.66742857138</v>
      </c>
      <c r="F1087" s="789">
        <f t="shared" si="93"/>
        <v>3610072.0045714197</v>
      </c>
      <c r="G1087" s="736">
        <f t="shared" si="98"/>
        <v>3910911.3382857051</v>
      </c>
      <c r="H1087" s="794">
        <f>+J1053*G1087+E1087</f>
        <v>1166820.3441469835</v>
      </c>
      <c r="I1087" s="795">
        <f>+J1054*G1087+E1087</f>
        <v>1166820.3441469835</v>
      </c>
      <c r="J1087" s="792">
        <f t="shared" si="100"/>
        <v>0</v>
      </c>
      <c r="K1087" s="792"/>
      <c r="L1087" s="812"/>
      <c r="M1087" s="792">
        <f t="shared" si="94"/>
        <v>0</v>
      </c>
      <c r="N1087" s="812"/>
      <c r="O1087" s="792">
        <f t="shared" si="95"/>
        <v>0</v>
      </c>
      <c r="P1087" s="792">
        <f t="shared" si="96"/>
        <v>0</v>
      </c>
    </row>
    <row r="1088" spans="3:16">
      <c r="C1088" s="788">
        <f>IF(D1052="","-",+C1087+1)</f>
        <v>2044</v>
      </c>
      <c r="D1088" s="736">
        <f t="shared" si="97"/>
        <v>3610072.0045714197</v>
      </c>
      <c r="E1088" s="789">
        <f t="shared" si="99"/>
        <v>601678.66742857138</v>
      </c>
      <c r="F1088" s="789">
        <f t="shared" si="93"/>
        <v>3008393.3371428484</v>
      </c>
      <c r="G1088" s="736">
        <f t="shared" si="98"/>
        <v>3309232.6708571343</v>
      </c>
      <c r="H1088" s="794">
        <f>+J1053*G1088+E1088</f>
        <v>1079875.4708056892</v>
      </c>
      <c r="I1088" s="795">
        <f>+J1054*G1088+E1088</f>
        <v>1079875.4708056892</v>
      </c>
      <c r="J1088" s="792">
        <f t="shared" si="100"/>
        <v>0</v>
      </c>
      <c r="K1088" s="792"/>
      <c r="L1088" s="812"/>
      <c r="M1088" s="792">
        <f t="shared" si="94"/>
        <v>0</v>
      </c>
      <c r="N1088" s="812"/>
      <c r="O1088" s="792">
        <f t="shared" si="95"/>
        <v>0</v>
      </c>
      <c r="P1088" s="792">
        <f t="shared" si="96"/>
        <v>0</v>
      </c>
    </row>
    <row r="1089" spans="3:16">
      <c r="C1089" s="788">
        <f>IF(D1052="","-",+C1088+1)</f>
        <v>2045</v>
      </c>
      <c r="D1089" s="736">
        <f t="shared" si="97"/>
        <v>3008393.3371428484</v>
      </c>
      <c r="E1089" s="789">
        <f t="shared" si="99"/>
        <v>601678.66742857138</v>
      </c>
      <c r="F1089" s="789">
        <f t="shared" si="93"/>
        <v>2406714.6697142771</v>
      </c>
      <c r="G1089" s="736">
        <f t="shared" si="98"/>
        <v>2707554.0034285625</v>
      </c>
      <c r="H1089" s="794">
        <f>+J1053*G1089+E1089</f>
        <v>992930.59746439476</v>
      </c>
      <c r="I1089" s="795">
        <f>+J1054*G1089+E1089</f>
        <v>992930.59746439476</v>
      </c>
      <c r="J1089" s="792">
        <f t="shared" si="100"/>
        <v>0</v>
      </c>
      <c r="K1089" s="792"/>
      <c r="L1089" s="812"/>
      <c r="M1089" s="792">
        <f t="shared" si="94"/>
        <v>0</v>
      </c>
      <c r="N1089" s="812"/>
      <c r="O1089" s="792">
        <f t="shared" si="95"/>
        <v>0</v>
      </c>
      <c r="P1089" s="792">
        <f t="shared" si="96"/>
        <v>0</v>
      </c>
    </row>
    <row r="1090" spans="3:16">
      <c r="C1090" s="788">
        <f>IF(D1052="","-",+C1089+1)</f>
        <v>2046</v>
      </c>
      <c r="D1090" s="736">
        <f t="shared" si="97"/>
        <v>2406714.6697142771</v>
      </c>
      <c r="E1090" s="789">
        <f t="shared" si="99"/>
        <v>601678.66742857138</v>
      </c>
      <c r="F1090" s="789">
        <f t="shared" si="93"/>
        <v>1805036.0022857059</v>
      </c>
      <c r="G1090" s="736">
        <f t="shared" si="98"/>
        <v>2105875.3359999917</v>
      </c>
      <c r="H1090" s="794">
        <f>+J1053*G1090+E1090</f>
        <v>905985.72412310052</v>
      </c>
      <c r="I1090" s="795">
        <f>+J1054*G1090+E1090</f>
        <v>905985.72412310052</v>
      </c>
      <c r="J1090" s="792">
        <f t="shared" si="100"/>
        <v>0</v>
      </c>
      <c r="K1090" s="792"/>
      <c r="L1090" s="812"/>
      <c r="M1090" s="792">
        <f t="shared" si="94"/>
        <v>0</v>
      </c>
      <c r="N1090" s="812"/>
      <c r="O1090" s="792">
        <f t="shared" si="95"/>
        <v>0</v>
      </c>
      <c r="P1090" s="792">
        <f t="shared" si="96"/>
        <v>0</v>
      </c>
    </row>
    <row r="1091" spans="3:16">
      <c r="C1091" s="788">
        <f>IF(D1052="","-",+C1090+1)</f>
        <v>2047</v>
      </c>
      <c r="D1091" s="736">
        <f t="shared" si="97"/>
        <v>1805036.0022857059</v>
      </c>
      <c r="E1091" s="789">
        <f t="shared" si="99"/>
        <v>601678.66742857138</v>
      </c>
      <c r="F1091" s="789">
        <f t="shared" si="93"/>
        <v>1203357.3348571346</v>
      </c>
      <c r="G1091" s="736">
        <f t="shared" si="98"/>
        <v>1504196.6685714202</v>
      </c>
      <c r="H1091" s="794">
        <f>+J1053*G1091+E1091</f>
        <v>819040.85078180605</v>
      </c>
      <c r="I1091" s="795">
        <f>+J1054*G1091+E1091</f>
        <v>819040.85078180605</v>
      </c>
      <c r="J1091" s="792">
        <f t="shared" si="100"/>
        <v>0</v>
      </c>
      <c r="K1091" s="792"/>
      <c r="L1091" s="812"/>
      <c r="M1091" s="792">
        <f t="shared" si="94"/>
        <v>0</v>
      </c>
      <c r="N1091" s="812"/>
      <c r="O1091" s="792">
        <f t="shared" si="95"/>
        <v>0</v>
      </c>
      <c r="P1091" s="792">
        <f t="shared" si="96"/>
        <v>0</v>
      </c>
    </row>
    <row r="1092" spans="3:16">
      <c r="C1092" s="788">
        <f>IF(D1052="","-",+C1091+1)</f>
        <v>2048</v>
      </c>
      <c r="D1092" s="736">
        <f t="shared" si="97"/>
        <v>1203357.3348571346</v>
      </c>
      <c r="E1092" s="789">
        <f t="shared" si="99"/>
        <v>601678.66742857138</v>
      </c>
      <c r="F1092" s="789">
        <f t="shared" si="93"/>
        <v>601678.66742856323</v>
      </c>
      <c r="G1092" s="736">
        <f t="shared" si="98"/>
        <v>902518.00114284898</v>
      </c>
      <c r="H1092" s="794">
        <f>+J1053*G1092+E1092</f>
        <v>732095.97744051181</v>
      </c>
      <c r="I1092" s="795">
        <f>+J1054*G1092+E1092</f>
        <v>732095.97744051181</v>
      </c>
      <c r="J1092" s="792">
        <f t="shared" si="100"/>
        <v>0</v>
      </c>
      <c r="K1092" s="792"/>
      <c r="L1092" s="812"/>
      <c r="M1092" s="792">
        <f t="shared" si="94"/>
        <v>0</v>
      </c>
      <c r="N1092" s="812"/>
      <c r="O1092" s="792">
        <f t="shared" si="95"/>
        <v>0</v>
      </c>
      <c r="P1092" s="792">
        <f t="shared" si="96"/>
        <v>0</v>
      </c>
    </row>
    <row r="1093" spans="3:16">
      <c r="C1093" s="788">
        <f>IF(D1052="","-",+C1092+1)</f>
        <v>2049</v>
      </c>
      <c r="D1093" s="736">
        <f t="shared" si="97"/>
        <v>601678.66742856323</v>
      </c>
      <c r="E1093" s="789">
        <f t="shared" si="99"/>
        <v>601678.66742856323</v>
      </c>
      <c r="F1093" s="789">
        <f t="shared" si="93"/>
        <v>0</v>
      </c>
      <c r="G1093" s="736">
        <f t="shared" si="98"/>
        <v>300839.33371428162</v>
      </c>
      <c r="H1093" s="794">
        <f>+J1053*G1093+E1093</f>
        <v>645151.10409920989</v>
      </c>
      <c r="I1093" s="795">
        <f>+J1054*G1093+E1093</f>
        <v>645151.10409920989</v>
      </c>
      <c r="J1093" s="792">
        <f t="shared" si="100"/>
        <v>0</v>
      </c>
      <c r="K1093" s="792"/>
      <c r="L1093" s="812"/>
      <c r="M1093" s="792">
        <f t="shared" si="94"/>
        <v>0</v>
      </c>
      <c r="N1093" s="812"/>
      <c r="O1093" s="792">
        <f t="shared" si="95"/>
        <v>0</v>
      </c>
      <c r="P1093" s="792">
        <f t="shared" si="96"/>
        <v>0</v>
      </c>
    </row>
    <row r="1094" spans="3:16">
      <c r="C1094" s="788">
        <f>IF(D1052="","-",+C1093+1)</f>
        <v>2050</v>
      </c>
      <c r="D1094" s="736">
        <f t="shared" si="97"/>
        <v>0</v>
      </c>
      <c r="E1094" s="789">
        <f t="shared" si="99"/>
        <v>0</v>
      </c>
      <c r="F1094" s="789">
        <f t="shared" si="93"/>
        <v>0</v>
      </c>
      <c r="G1094" s="736">
        <f t="shared" si="98"/>
        <v>0</v>
      </c>
      <c r="H1094" s="794">
        <f>+J1053*G1094+E1094</f>
        <v>0</v>
      </c>
      <c r="I1094" s="795">
        <f>+J1054*G1094+E1094</f>
        <v>0</v>
      </c>
      <c r="J1094" s="792">
        <f t="shared" si="100"/>
        <v>0</v>
      </c>
      <c r="K1094" s="792"/>
      <c r="L1094" s="812"/>
      <c r="M1094" s="792">
        <f t="shared" si="94"/>
        <v>0</v>
      </c>
      <c r="N1094" s="812"/>
      <c r="O1094" s="792">
        <f t="shared" si="95"/>
        <v>0</v>
      </c>
      <c r="P1094" s="792">
        <f t="shared" si="96"/>
        <v>0</v>
      </c>
    </row>
    <row r="1095" spans="3:16">
      <c r="C1095" s="788">
        <f>IF(D1052="","-",+C1094+1)</f>
        <v>2051</v>
      </c>
      <c r="D1095" s="736">
        <f t="shared" si="97"/>
        <v>0</v>
      </c>
      <c r="E1095" s="789">
        <f t="shared" si="99"/>
        <v>0</v>
      </c>
      <c r="F1095" s="789">
        <f t="shared" si="93"/>
        <v>0</v>
      </c>
      <c r="G1095" s="736">
        <f t="shared" si="98"/>
        <v>0</v>
      </c>
      <c r="H1095" s="794">
        <f>+J1053*G1095+E1095</f>
        <v>0</v>
      </c>
      <c r="I1095" s="795">
        <f>+J1054*G1095+E1095</f>
        <v>0</v>
      </c>
      <c r="J1095" s="792">
        <f t="shared" si="100"/>
        <v>0</v>
      </c>
      <c r="K1095" s="792"/>
      <c r="L1095" s="812"/>
      <c r="M1095" s="792">
        <f t="shared" si="94"/>
        <v>0</v>
      </c>
      <c r="N1095" s="812"/>
      <c r="O1095" s="792">
        <f t="shared" si="95"/>
        <v>0</v>
      </c>
      <c r="P1095" s="792">
        <f t="shared" si="96"/>
        <v>0</v>
      </c>
    </row>
    <row r="1096" spans="3:16">
      <c r="C1096" s="788">
        <f>IF(D1052="","-",+C1095+1)</f>
        <v>2052</v>
      </c>
      <c r="D1096" s="736">
        <f t="shared" si="97"/>
        <v>0</v>
      </c>
      <c r="E1096" s="789">
        <f t="shared" si="99"/>
        <v>0</v>
      </c>
      <c r="F1096" s="789">
        <f t="shared" si="93"/>
        <v>0</v>
      </c>
      <c r="G1096" s="736">
        <f t="shared" si="98"/>
        <v>0</v>
      </c>
      <c r="H1096" s="794">
        <f>+J1053*G1096+E1096</f>
        <v>0</v>
      </c>
      <c r="I1096" s="795">
        <f>+J1054*G1096+E1096</f>
        <v>0</v>
      </c>
      <c r="J1096" s="792">
        <f t="shared" si="100"/>
        <v>0</v>
      </c>
      <c r="K1096" s="792"/>
      <c r="L1096" s="812"/>
      <c r="M1096" s="792">
        <f t="shared" si="94"/>
        <v>0</v>
      </c>
      <c r="N1096" s="812"/>
      <c r="O1096" s="792">
        <f t="shared" si="95"/>
        <v>0</v>
      </c>
      <c r="P1096" s="792">
        <f t="shared" si="96"/>
        <v>0</v>
      </c>
    </row>
    <row r="1097" spans="3:16">
      <c r="C1097" s="788">
        <f>IF(D1052="","-",+C1096+1)</f>
        <v>2053</v>
      </c>
      <c r="D1097" s="736">
        <f t="shared" si="97"/>
        <v>0</v>
      </c>
      <c r="E1097" s="789">
        <f t="shared" si="99"/>
        <v>0</v>
      </c>
      <c r="F1097" s="789">
        <f t="shared" si="93"/>
        <v>0</v>
      </c>
      <c r="G1097" s="736">
        <f t="shared" si="98"/>
        <v>0</v>
      </c>
      <c r="H1097" s="794">
        <f>+J1053*G1097+E1097</f>
        <v>0</v>
      </c>
      <c r="I1097" s="795">
        <f>+J1054*G1097+E1097</f>
        <v>0</v>
      </c>
      <c r="J1097" s="792">
        <f t="shared" si="100"/>
        <v>0</v>
      </c>
      <c r="K1097" s="792"/>
      <c r="L1097" s="812"/>
      <c r="M1097" s="792">
        <f t="shared" si="94"/>
        <v>0</v>
      </c>
      <c r="N1097" s="812"/>
      <c r="O1097" s="792">
        <f t="shared" si="95"/>
        <v>0</v>
      </c>
      <c r="P1097" s="792">
        <f t="shared" si="96"/>
        <v>0</v>
      </c>
    </row>
    <row r="1098" spans="3:16">
      <c r="C1098" s="788">
        <f>IF(D1052="","-",+C1097+1)</f>
        <v>2054</v>
      </c>
      <c r="D1098" s="736">
        <f t="shared" si="97"/>
        <v>0</v>
      </c>
      <c r="E1098" s="789">
        <f t="shared" si="99"/>
        <v>0</v>
      </c>
      <c r="F1098" s="789">
        <f t="shared" si="93"/>
        <v>0</v>
      </c>
      <c r="G1098" s="736">
        <f t="shared" si="98"/>
        <v>0</v>
      </c>
      <c r="H1098" s="794">
        <f>+J1053*G1098+E1098</f>
        <v>0</v>
      </c>
      <c r="I1098" s="795">
        <f>+J1054*G1098+E1098</f>
        <v>0</v>
      </c>
      <c r="J1098" s="792">
        <f t="shared" si="100"/>
        <v>0</v>
      </c>
      <c r="K1098" s="792"/>
      <c r="L1098" s="812"/>
      <c r="M1098" s="792">
        <f t="shared" si="94"/>
        <v>0</v>
      </c>
      <c r="N1098" s="812"/>
      <c r="O1098" s="792">
        <f t="shared" si="95"/>
        <v>0</v>
      </c>
      <c r="P1098" s="792">
        <f t="shared" si="96"/>
        <v>0</v>
      </c>
    </row>
    <row r="1099" spans="3:16">
      <c r="C1099" s="788">
        <f>IF(D1052="","-",+C1098+1)</f>
        <v>2055</v>
      </c>
      <c r="D1099" s="736">
        <f t="shared" si="97"/>
        <v>0</v>
      </c>
      <c r="E1099" s="789">
        <f t="shared" si="99"/>
        <v>0</v>
      </c>
      <c r="F1099" s="789">
        <f t="shared" si="93"/>
        <v>0</v>
      </c>
      <c r="G1099" s="736">
        <f t="shared" si="98"/>
        <v>0</v>
      </c>
      <c r="H1099" s="794">
        <f>+J1053*G1099+E1099</f>
        <v>0</v>
      </c>
      <c r="I1099" s="795">
        <f>+J1054*G1099+E1099</f>
        <v>0</v>
      </c>
      <c r="J1099" s="792">
        <f t="shared" si="100"/>
        <v>0</v>
      </c>
      <c r="K1099" s="792"/>
      <c r="L1099" s="812"/>
      <c r="M1099" s="792">
        <f t="shared" si="94"/>
        <v>0</v>
      </c>
      <c r="N1099" s="812"/>
      <c r="O1099" s="792">
        <f t="shared" si="95"/>
        <v>0</v>
      </c>
      <c r="P1099" s="792">
        <f t="shared" si="96"/>
        <v>0</v>
      </c>
    </row>
    <row r="1100" spans="3:16">
      <c r="C1100" s="788">
        <f>IF(D1052="","-",+C1099+1)</f>
        <v>2056</v>
      </c>
      <c r="D1100" s="736">
        <f t="shared" si="97"/>
        <v>0</v>
      </c>
      <c r="E1100" s="789">
        <f t="shared" si="99"/>
        <v>0</v>
      </c>
      <c r="F1100" s="789">
        <f t="shared" si="93"/>
        <v>0</v>
      </c>
      <c r="G1100" s="736">
        <f t="shared" si="98"/>
        <v>0</v>
      </c>
      <c r="H1100" s="794">
        <f>+J1053*G1100+E1100</f>
        <v>0</v>
      </c>
      <c r="I1100" s="795">
        <f>+J1054*G1100+E1100</f>
        <v>0</v>
      </c>
      <c r="J1100" s="792">
        <f t="shared" si="100"/>
        <v>0</v>
      </c>
      <c r="K1100" s="792"/>
      <c r="L1100" s="812"/>
      <c r="M1100" s="792">
        <f t="shared" si="94"/>
        <v>0</v>
      </c>
      <c r="N1100" s="812"/>
      <c r="O1100" s="792">
        <f t="shared" si="95"/>
        <v>0</v>
      </c>
      <c r="P1100" s="792">
        <f t="shared" si="96"/>
        <v>0</v>
      </c>
    </row>
    <row r="1101" spans="3:16">
      <c r="C1101" s="788">
        <f>IF(D1052="","-",+C1100+1)</f>
        <v>2057</v>
      </c>
      <c r="D1101" s="736">
        <f t="shared" si="97"/>
        <v>0</v>
      </c>
      <c r="E1101" s="789">
        <f t="shared" si="99"/>
        <v>0</v>
      </c>
      <c r="F1101" s="789">
        <f t="shared" si="93"/>
        <v>0</v>
      </c>
      <c r="G1101" s="736">
        <f t="shared" si="98"/>
        <v>0</v>
      </c>
      <c r="H1101" s="794">
        <f>+J1053*G1101+E1101</f>
        <v>0</v>
      </c>
      <c r="I1101" s="795">
        <f>+J1054*G1101+E1101</f>
        <v>0</v>
      </c>
      <c r="J1101" s="792">
        <f t="shared" si="100"/>
        <v>0</v>
      </c>
      <c r="K1101" s="792"/>
      <c r="L1101" s="812"/>
      <c r="M1101" s="792">
        <f t="shared" si="94"/>
        <v>0</v>
      </c>
      <c r="N1101" s="812"/>
      <c r="O1101" s="792">
        <f t="shared" si="95"/>
        <v>0</v>
      </c>
      <c r="P1101" s="792">
        <f t="shared" si="96"/>
        <v>0</v>
      </c>
    </row>
    <row r="1102" spans="3:16">
      <c r="C1102" s="788">
        <f>IF(D1052="","-",+C1101+1)</f>
        <v>2058</v>
      </c>
      <c r="D1102" s="736">
        <f t="shared" si="97"/>
        <v>0</v>
      </c>
      <c r="E1102" s="789">
        <f t="shared" si="99"/>
        <v>0</v>
      </c>
      <c r="F1102" s="789">
        <f t="shared" si="93"/>
        <v>0</v>
      </c>
      <c r="G1102" s="736">
        <f t="shared" si="98"/>
        <v>0</v>
      </c>
      <c r="H1102" s="794">
        <f>+J1053*G1102+E1102</f>
        <v>0</v>
      </c>
      <c r="I1102" s="795">
        <f>+J1054*G1102+E1102</f>
        <v>0</v>
      </c>
      <c r="J1102" s="792">
        <f t="shared" si="100"/>
        <v>0</v>
      </c>
      <c r="K1102" s="792"/>
      <c r="L1102" s="812"/>
      <c r="M1102" s="792">
        <f t="shared" si="94"/>
        <v>0</v>
      </c>
      <c r="N1102" s="812"/>
      <c r="O1102" s="792">
        <f t="shared" si="95"/>
        <v>0</v>
      </c>
      <c r="P1102" s="792">
        <f t="shared" si="96"/>
        <v>0</v>
      </c>
    </row>
    <row r="1103" spans="3:16">
      <c r="C1103" s="788">
        <f>IF(D1052="","-",+C1102+1)</f>
        <v>2059</v>
      </c>
      <c r="D1103" s="736">
        <f t="shared" si="97"/>
        <v>0</v>
      </c>
      <c r="E1103" s="789">
        <f t="shared" si="99"/>
        <v>0</v>
      </c>
      <c r="F1103" s="789">
        <f t="shared" si="93"/>
        <v>0</v>
      </c>
      <c r="G1103" s="736">
        <f t="shared" si="98"/>
        <v>0</v>
      </c>
      <c r="H1103" s="794">
        <f>+J1053*G1103+E1103</f>
        <v>0</v>
      </c>
      <c r="I1103" s="795">
        <f>+J1054*G1103+E1103</f>
        <v>0</v>
      </c>
      <c r="J1103" s="792">
        <f t="shared" si="100"/>
        <v>0</v>
      </c>
      <c r="K1103" s="792"/>
      <c r="L1103" s="812"/>
      <c r="M1103" s="792">
        <f t="shared" si="94"/>
        <v>0</v>
      </c>
      <c r="N1103" s="812"/>
      <c r="O1103" s="792">
        <f t="shared" si="95"/>
        <v>0</v>
      </c>
      <c r="P1103" s="792">
        <f t="shared" si="96"/>
        <v>0</v>
      </c>
    </row>
    <row r="1104" spans="3:16">
      <c r="C1104" s="788">
        <f>IF(D1052="","-",+C1103+1)</f>
        <v>2060</v>
      </c>
      <c r="D1104" s="736">
        <f t="shared" si="97"/>
        <v>0</v>
      </c>
      <c r="E1104" s="789">
        <f t="shared" si="99"/>
        <v>0</v>
      </c>
      <c r="F1104" s="789">
        <f t="shared" si="93"/>
        <v>0</v>
      </c>
      <c r="G1104" s="736">
        <f t="shared" si="98"/>
        <v>0</v>
      </c>
      <c r="H1104" s="794">
        <f>+J1053*G1104+E1104</f>
        <v>0</v>
      </c>
      <c r="I1104" s="795">
        <f>+J1054*G1104+E1104</f>
        <v>0</v>
      </c>
      <c r="J1104" s="792">
        <f t="shared" si="100"/>
        <v>0</v>
      </c>
      <c r="K1104" s="792"/>
      <c r="L1104" s="812"/>
      <c r="M1104" s="792">
        <f t="shared" si="94"/>
        <v>0</v>
      </c>
      <c r="N1104" s="812"/>
      <c r="O1104" s="792">
        <f t="shared" si="95"/>
        <v>0</v>
      </c>
      <c r="P1104" s="792">
        <f t="shared" si="96"/>
        <v>0</v>
      </c>
    </row>
    <row r="1105" spans="3:16">
      <c r="C1105" s="788">
        <f>IF(D1052="","-",+C1104+1)</f>
        <v>2061</v>
      </c>
      <c r="D1105" s="736">
        <f t="shared" si="97"/>
        <v>0</v>
      </c>
      <c r="E1105" s="789">
        <f t="shared" si="99"/>
        <v>0</v>
      </c>
      <c r="F1105" s="789">
        <f t="shared" si="93"/>
        <v>0</v>
      </c>
      <c r="G1105" s="736">
        <f t="shared" si="98"/>
        <v>0</v>
      </c>
      <c r="H1105" s="794">
        <f>+J1053*G1105+E1105</f>
        <v>0</v>
      </c>
      <c r="I1105" s="795">
        <f>+J1054*G1105+E1105</f>
        <v>0</v>
      </c>
      <c r="J1105" s="792">
        <f t="shared" si="100"/>
        <v>0</v>
      </c>
      <c r="K1105" s="792"/>
      <c r="L1105" s="812"/>
      <c r="M1105" s="792">
        <f t="shared" si="94"/>
        <v>0</v>
      </c>
      <c r="N1105" s="812"/>
      <c r="O1105" s="792">
        <f t="shared" si="95"/>
        <v>0</v>
      </c>
      <c r="P1105" s="792">
        <f t="shared" si="96"/>
        <v>0</v>
      </c>
    </row>
    <row r="1106" spans="3:16">
      <c r="C1106" s="788">
        <f>IF(D1052="","-",+C1105+1)</f>
        <v>2062</v>
      </c>
      <c r="D1106" s="736">
        <f t="shared" si="97"/>
        <v>0</v>
      </c>
      <c r="E1106" s="789">
        <f t="shared" si="99"/>
        <v>0</v>
      </c>
      <c r="F1106" s="789">
        <f t="shared" si="93"/>
        <v>0</v>
      </c>
      <c r="G1106" s="736">
        <f t="shared" si="98"/>
        <v>0</v>
      </c>
      <c r="H1106" s="794">
        <f>+J1053*G1106+E1106</f>
        <v>0</v>
      </c>
      <c r="I1106" s="795">
        <f>+J1054*G1106+E1106</f>
        <v>0</v>
      </c>
      <c r="J1106" s="792">
        <f t="shared" si="100"/>
        <v>0</v>
      </c>
      <c r="K1106" s="792"/>
      <c r="L1106" s="812"/>
      <c r="M1106" s="792">
        <f t="shared" si="94"/>
        <v>0</v>
      </c>
      <c r="N1106" s="812"/>
      <c r="O1106" s="792">
        <f t="shared" si="95"/>
        <v>0</v>
      </c>
      <c r="P1106" s="792">
        <f t="shared" si="96"/>
        <v>0</v>
      </c>
    </row>
    <row r="1107" spans="3:16">
      <c r="C1107" s="788">
        <f>IF(D1052="","-",+C1106+1)</f>
        <v>2063</v>
      </c>
      <c r="D1107" s="736">
        <f t="shared" si="97"/>
        <v>0</v>
      </c>
      <c r="E1107" s="789">
        <f t="shared" si="99"/>
        <v>0</v>
      </c>
      <c r="F1107" s="789">
        <f t="shared" si="93"/>
        <v>0</v>
      </c>
      <c r="G1107" s="736">
        <f t="shared" si="98"/>
        <v>0</v>
      </c>
      <c r="H1107" s="794">
        <f>+J1053*G1107+E1107</f>
        <v>0</v>
      </c>
      <c r="I1107" s="795">
        <f>+J1054*G1107+E1107</f>
        <v>0</v>
      </c>
      <c r="J1107" s="792">
        <f t="shared" si="100"/>
        <v>0</v>
      </c>
      <c r="K1107" s="792"/>
      <c r="L1107" s="812"/>
      <c r="M1107" s="792">
        <f t="shared" si="94"/>
        <v>0</v>
      </c>
      <c r="N1107" s="812"/>
      <c r="O1107" s="792">
        <f t="shared" si="95"/>
        <v>0</v>
      </c>
      <c r="P1107" s="792">
        <f t="shared" si="96"/>
        <v>0</v>
      </c>
    </row>
    <row r="1108" spans="3:16">
      <c r="C1108" s="788">
        <f>IF(D1052="","-",+C1107+1)</f>
        <v>2064</v>
      </c>
      <c r="D1108" s="736">
        <f t="shared" si="97"/>
        <v>0</v>
      </c>
      <c r="E1108" s="789">
        <f t="shared" si="99"/>
        <v>0</v>
      </c>
      <c r="F1108" s="789">
        <f t="shared" si="93"/>
        <v>0</v>
      </c>
      <c r="G1108" s="736">
        <f t="shared" si="98"/>
        <v>0</v>
      </c>
      <c r="H1108" s="794">
        <f>+J1053*G1108+E1108</f>
        <v>0</v>
      </c>
      <c r="I1108" s="795">
        <f>+J1054*G1108+E1108</f>
        <v>0</v>
      </c>
      <c r="J1108" s="792">
        <f t="shared" si="100"/>
        <v>0</v>
      </c>
      <c r="K1108" s="792"/>
      <c r="L1108" s="812"/>
      <c r="M1108" s="792">
        <f t="shared" si="94"/>
        <v>0</v>
      </c>
      <c r="N1108" s="812"/>
      <c r="O1108" s="792">
        <f t="shared" si="95"/>
        <v>0</v>
      </c>
      <c r="P1108" s="792">
        <f t="shared" si="96"/>
        <v>0</v>
      </c>
    </row>
    <row r="1109" spans="3:16">
      <c r="C1109" s="788">
        <f>IF(D1052="","-",+C1108+1)</f>
        <v>2065</v>
      </c>
      <c r="D1109" s="736">
        <f t="shared" si="97"/>
        <v>0</v>
      </c>
      <c r="E1109" s="789">
        <f t="shared" si="99"/>
        <v>0</v>
      </c>
      <c r="F1109" s="789">
        <f t="shared" si="93"/>
        <v>0</v>
      </c>
      <c r="G1109" s="736">
        <f t="shared" si="98"/>
        <v>0</v>
      </c>
      <c r="H1109" s="794">
        <f>+J1053*G1109+E1109</f>
        <v>0</v>
      </c>
      <c r="I1109" s="795">
        <f>+J1054*G1109+E1109</f>
        <v>0</v>
      </c>
      <c r="J1109" s="792">
        <f t="shared" si="100"/>
        <v>0</v>
      </c>
      <c r="K1109" s="792"/>
      <c r="L1109" s="812"/>
      <c r="M1109" s="792">
        <f t="shared" si="94"/>
        <v>0</v>
      </c>
      <c r="N1109" s="812"/>
      <c r="O1109" s="792">
        <f t="shared" si="95"/>
        <v>0</v>
      </c>
      <c r="P1109" s="792">
        <f t="shared" si="96"/>
        <v>0</v>
      </c>
    </row>
    <row r="1110" spans="3:16">
      <c r="C1110" s="788">
        <f>IF(D1052="","-",+C1109+1)</f>
        <v>2066</v>
      </c>
      <c r="D1110" s="736">
        <f t="shared" si="97"/>
        <v>0</v>
      </c>
      <c r="E1110" s="789">
        <f t="shared" si="99"/>
        <v>0</v>
      </c>
      <c r="F1110" s="789">
        <f t="shared" si="93"/>
        <v>0</v>
      </c>
      <c r="G1110" s="736">
        <f t="shared" si="98"/>
        <v>0</v>
      </c>
      <c r="H1110" s="794">
        <f>+J1053*G1110+E1110</f>
        <v>0</v>
      </c>
      <c r="I1110" s="795">
        <f>+J1054*G1110+E1110</f>
        <v>0</v>
      </c>
      <c r="J1110" s="792">
        <f t="shared" si="100"/>
        <v>0</v>
      </c>
      <c r="K1110" s="792"/>
      <c r="L1110" s="812"/>
      <c r="M1110" s="792">
        <f t="shared" si="94"/>
        <v>0</v>
      </c>
      <c r="N1110" s="812"/>
      <c r="O1110" s="792">
        <f t="shared" si="95"/>
        <v>0</v>
      </c>
      <c r="P1110" s="792">
        <f t="shared" si="96"/>
        <v>0</v>
      </c>
    </row>
    <row r="1111" spans="3:16">
      <c r="C1111" s="788">
        <f>IF(D1052="","-",+C1110+1)</f>
        <v>2067</v>
      </c>
      <c r="D1111" s="736">
        <f t="shared" si="97"/>
        <v>0</v>
      </c>
      <c r="E1111" s="789">
        <f t="shared" si="99"/>
        <v>0</v>
      </c>
      <c r="F1111" s="789">
        <f t="shared" si="93"/>
        <v>0</v>
      </c>
      <c r="G1111" s="736">
        <f t="shared" si="98"/>
        <v>0</v>
      </c>
      <c r="H1111" s="794">
        <f>+J1053*G1111+E1111</f>
        <v>0</v>
      </c>
      <c r="I1111" s="795">
        <f>+J1054*G1111+E1111</f>
        <v>0</v>
      </c>
      <c r="J1111" s="792">
        <f t="shared" si="100"/>
        <v>0</v>
      </c>
      <c r="K1111" s="792"/>
      <c r="L1111" s="812"/>
      <c r="M1111" s="792">
        <f t="shared" si="94"/>
        <v>0</v>
      </c>
      <c r="N1111" s="812"/>
      <c r="O1111" s="792">
        <f t="shared" si="95"/>
        <v>0</v>
      </c>
      <c r="P1111" s="792">
        <f t="shared" si="96"/>
        <v>0</v>
      </c>
    </row>
    <row r="1112" spans="3:16">
      <c r="C1112" s="788">
        <f>IF(D1052="","-",+C1111+1)</f>
        <v>2068</v>
      </c>
      <c r="D1112" s="736">
        <f t="shared" si="97"/>
        <v>0</v>
      </c>
      <c r="E1112" s="789">
        <f t="shared" si="99"/>
        <v>0</v>
      </c>
      <c r="F1112" s="789">
        <f t="shared" si="93"/>
        <v>0</v>
      </c>
      <c r="G1112" s="736">
        <f t="shared" si="98"/>
        <v>0</v>
      </c>
      <c r="H1112" s="794">
        <f>+J1053*G1112+E1112</f>
        <v>0</v>
      </c>
      <c r="I1112" s="795">
        <f>+J1054*G1112+E1112</f>
        <v>0</v>
      </c>
      <c r="J1112" s="792">
        <f t="shared" si="100"/>
        <v>0</v>
      </c>
      <c r="K1112" s="792"/>
      <c r="L1112" s="812"/>
      <c r="M1112" s="792">
        <f t="shared" si="94"/>
        <v>0</v>
      </c>
      <c r="N1112" s="812"/>
      <c r="O1112" s="792">
        <f t="shared" si="95"/>
        <v>0</v>
      </c>
      <c r="P1112" s="792">
        <f t="shared" si="96"/>
        <v>0</v>
      </c>
    </row>
    <row r="1113" spans="3:16">
      <c r="C1113" s="788">
        <f>IF(D1052="","-",+C1112+1)</f>
        <v>2069</v>
      </c>
      <c r="D1113" s="736">
        <f t="shared" si="97"/>
        <v>0</v>
      </c>
      <c r="E1113" s="789">
        <f t="shared" si="99"/>
        <v>0</v>
      </c>
      <c r="F1113" s="789">
        <f t="shared" si="93"/>
        <v>0</v>
      </c>
      <c r="G1113" s="736">
        <f t="shared" si="98"/>
        <v>0</v>
      </c>
      <c r="H1113" s="794">
        <f>+J1053*G1113+E1113</f>
        <v>0</v>
      </c>
      <c r="I1113" s="795">
        <f>+J1054*G1113+E1113</f>
        <v>0</v>
      </c>
      <c r="J1113" s="792">
        <f t="shared" si="100"/>
        <v>0</v>
      </c>
      <c r="K1113" s="792"/>
      <c r="L1113" s="812"/>
      <c r="M1113" s="792">
        <f t="shared" si="94"/>
        <v>0</v>
      </c>
      <c r="N1113" s="812"/>
      <c r="O1113" s="792">
        <f t="shared" si="95"/>
        <v>0</v>
      </c>
      <c r="P1113" s="792">
        <f t="shared" si="96"/>
        <v>0</v>
      </c>
    </row>
    <row r="1114" spans="3:16">
      <c r="C1114" s="788">
        <f>IF(D1052="","-",+C1113+1)</f>
        <v>2070</v>
      </c>
      <c r="D1114" s="736">
        <f t="shared" si="97"/>
        <v>0</v>
      </c>
      <c r="E1114" s="789">
        <f t="shared" si="99"/>
        <v>0</v>
      </c>
      <c r="F1114" s="789">
        <f t="shared" si="93"/>
        <v>0</v>
      </c>
      <c r="G1114" s="736">
        <f t="shared" si="98"/>
        <v>0</v>
      </c>
      <c r="H1114" s="794">
        <f>+J1053*G1114+E1114</f>
        <v>0</v>
      </c>
      <c r="I1114" s="795">
        <f>+J1054*G1114+E1114</f>
        <v>0</v>
      </c>
      <c r="J1114" s="792">
        <f t="shared" si="100"/>
        <v>0</v>
      </c>
      <c r="K1114" s="792"/>
      <c r="L1114" s="812"/>
      <c r="M1114" s="792">
        <f t="shared" si="94"/>
        <v>0</v>
      </c>
      <c r="N1114" s="812"/>
      <c r="O1114" s="792">
        <f t="shared" si="95"/>
        <v>0</v>
      </c>
      <c r="P1114" s="792">
        <f t="shared" si="96"/>
        <v>0</v>
      </c>
    </row>
    <row r="1115" spans="3:16">
      <c r="C1115" s="788">
        <f>IF(D1052="","-",+C1114+1)</f>
        <v>2071</v>
      </c>
      <c r="D1115" s="736">
        <f t="shared" si="97"/>
        <v>0</v>
      </c>
      <c r="E1115" s="789">
        <f t="shared" si="99"/>
        <v>0</v>
      </c>
      <c r="F1115" s="789">
        <f t="shared" si="93"/>
        <v>0</v>
      </c>
      <c r="G1115" s="736">
        <f t="shared" si="98"/>
        <v>0</v>
      </c>
      <c r="H1115" s="794">
        <f>+J1053*G1115+E1115</f>
        <v>0</v>
      </c>
      <c r="I1115" s="795">
        <f>+J1054*G1115+E1115</f>
        <v>0</v>
      </c>
      <c r="J1115" s="792">
        <f t="shared" si="100"/>
        <v>0</v>
      </c>
      <c r="K1115" s="792"/>
      <c r="L1115" s="812"/>
      <c r="M1115" s="792">
        <f t="shared" si="94"/>
        <v>0</v>
      </c>
      <c r="N1115" s="812"/>
      <c r="O1115" s="792">
        <f t="shared" si="95"/>
        <v>0</v>
      </c>
      <c r="P1115" s="792">
        <f t="shared" si="96"/>
        <v>0</v>
      </c>
    </row>
    <row r="1116" spans="3:16">
      <c r="C1116" s="788">
        <f>IF(D1052="","-",+C1115+1)</f>
        <v>2072</v>
      </c>
      <c r="D1116" s="736">
        <f t="shared" si="97"/>
        <v>0</v>
      </c>
      <c r="E1116" s="789">
        <f t="shared" si="99"/>
        <v>0</v>
      </c>
      <c r="F1116" s="789">
        <f t="shared" si="93"/>
        <v>0</v>
      </c>
      <c r="G1116" s="736">
        <f t="shared" si="98"/>
        <v>0</v>
      </c>
      <c r="H1116" s="794">
        <f>+J1053*G1116+E1116</f>
        <v>0</v>
      </c>
      <c r="I1116" s="795">
        <f>+J1054*G1116+E1116</f>
        <v>0</v>
      </c>
      <c r="J1116" s="792">
        <f t="shared" si="100"/>
        <v>0</v>
      </c>
      <c r="K1116" s="792"/>
      <c r="L1116" s="812"/>
      <c r="M1116" s="792">
        <f t="shared" si="94"/>
        <v>0</v>
      </c>
      <c r="N1116" s="812"/>
      <c r="O1116" s="792">
        <f t="shared" si="95"/>
        <v>0</v>
      </c>
      <c r="P1116" s="792">
        <f t="shared" si="96"/>
        <v>0</v>
      </c>
    </row>
    <row r="1117" spans="3:16" ht="13.5" thickBot="1">
      <c r="C1117" s="798">
        <f>IF(D1052="","-",+C1116+1)</f>
        <v>2073</v>
      </c>
      <c r="D1117" s="799">
        <f t="shared" si="97"/>
        <v>0</v>
      </c>
      <c r="E1117" s="800">
        <f t="shared" si="99"/>
        <v>0</v>
      </c>
      <c r="F1117" s="1322">
        <f t="shared" si="93"/>
        <v>0</v>
      </c>
      <c r="G1117" s="799">
        <f t="shared" si="98"/>
        <v>0</v>
      </c>
      <c r="H1117" s="801">
        <f>+J1053*G1117+E1117</f>
        <v>0</v>
      </c>
      <c r="I1117" s="801">
        <f>+J1054*G1117+E1117</f>
        <v>0</v>
      </c>
      <c r="J1117" s="802">
        <f t="shared" si="100"/>
        <v>0</v>
      </c>
      <c r="K1117" s="792"/>
      <c r="L1117" s="813"/>
      <c r="M1117" s="802">
        <f t="shared" si="94"/>
        <v>0</v>
      </c>
      <c r="N1117" s="813"/>
      <c r="O1117" s="802">
        <f t="shared" si="95"/>
        <v>0</v>
      </c>
      <c r="P1117" s="802">
        <f t="shared" si="96"/>
        <v>0</v>
      </c>
    </row>
    <row r="1118" spans="3:16">
      <c r="C1118" s="736" t="s">
        <v>83</v>
      </c>
      <c r="D1118" s="730"/>
      <c r="E1118" s="730">
        <f>SUM(E1058:E1117)</f>
        <v>21058753.359999999</v>
      </c>
      <c r="F1118" s="730"/>
      <c r="G1118" s="730"/>
      <c r="H1118" s="730">
        <f>SUM(H1058:H1117)</f>
        <v>77355558.848488078</v>
      </c>
      <c r="I1118" s="730">
        <f>SUM(I1058:I1117)</f>
        <v>77355558.848488078</v>
      </c>
      <c r="J1118" s="730">
        <f>SUM(J1058:J1117)</f>
        <v>0</v>
      </c>
      <c r="K1118" s="730"/>
      <c r="L1118" s="730"/>
      <c r="M1118" s="730"/>
      <c r="N1118" s="730"/>
      <c r="O1118" s="730"/>
    </row>
    <row r="1119" spans="3:16">
      <c r="D1119" s="538"/>
      <c r="E1119" s="313"/>
      <c r="F1119" s="313"/>
      <c r="G1119" s="313"/>
      <c r="H1119" s="313"/>
      <c r="I1119" s="708"/>
      <c r="J1119" s="708"/>
      <c r="K1119" s="730"/>
      <c r="L1119" s="708"/>
      <c r="M1119" s="708"/>
      <c r="N1119" s="708"/>
      <c r="O1119" s="708"/>
    </row>
    <row r="1120" spans="3:16">
      <c r="C1120" s="313" t="s">
        <v>13</v>
      </c>
      <c r="D1120" s="538"/>
      <c r="E1120" s="313"/>
      <c r="F1120" s="313"/>
      <c r="G1120" s="313"/>
      <c r="H1120" s="313"/>
      <c r="I1120" s="708"/>
      <c r="J1120" s="708"/>
      <c r="K1120" s="730"/>
      <c r="L1120" s="708"/>
      <c r="M1120" s="708"/>
      <c r="N1120" s="708"/>
      <c r="O1120" s="708"/>
    </row>
    <row r="1121" spans="1:17">
      <c r="C1121" s="313"/>
      <c r="D1121" s="538"/>
      <c r="E1121" s="313"/>
      <c r="F1121" s="313"/>
      <c r="G1121" s="313"/>
      <c r="H1121" s="313"/>
      <c r="I1121" s="708"/>
      <c r="J1121" s="708"/>
      <c r="K1121" s="730"/>
      <c r="L1121" s="708"/>
      <c r="M1121" s="708"/>
      <c r="N1121" s="708"/>
      <c r="O1121" s="708"/>
    </row>
    <row r="1122" spans="1:17">
      <c r="C1122" s="749" t="s">
        <v>14</v>
      </c>
      <c r="D1122" s="736"/>
      <c r="E1122" s="736"/>
      <c r="F1122" s="736"/>
      <c r="G1122" s="736"/>
      <c r="H1122" s="730"/>
      <c r="I1122" s="730"/>
      <c r="J1122" s="804"/>
      <c r="K1122" s="804"/>
      <c r="L1122" s="804"/>
      <c r="M1122" s="804"/>
      <c r="N1122" s="804"/>
      <c r="O1122" s="804"/>
    </row>
    <row r="1123" spans="1:17">
      <c r="C1123" s="735" t="s">
        <v>263</v>
      </c>
      <c r="D1123" s="736"/>
      <c r="E1123" s="736"/>
      <c r="F1123" s="736"/>
      <c r="G1123" s="736"/>
      <c r="H1123" s="730"/>
      <c r="I1123" s="730"/>
      <c r="J1123" s="804"/>
      <c r="K1123" s="804"/>
      <c r="L1123" s="804"/>
      <c r="M1123" s="804"/>
      <c r="N1123" s="804"/>
      <c r="O1123" s="804"/>
    </row>
    <row r="1124" spans="1:17">
      <c r="C1124" s="735" t="s">
        <v>84</v>
      </c>
      <c r="D1124" s="736"/>
      <c r="E1124" s="736"/>
      <c r="F1124" s="736"/>
      <c r="G1124" s="736"/>
      <c r="H1124" s="730"/>
      <c r="I1124" s="730"/>
      <c r="J1124" s="804"/>
      <c r="K1124" s="804"/>
      <c r="L1124" s="804"/>
      <c r="M1124" s="804"/>
      <c r="N1124" s="804"/>
      <c r="O1124" s="804"/>
    </row>
    <row r="1126" spans="1:17" ht="20.25">
      <c r="A1126" s="737" t="str">
        <f>""&amp;A1050&amp;" Worksheet K -  ATRR TRUE-UP Calculation for PJM Projects Charged to Benefiting Zones"</f>
        <v xml:space="preserve"> Worksheet K -  ATRR TRUE-UP Calculation for PJM Projects Charged to Benefiting Zones</v>
      </c>
      <c r="B1126" s="347"/>
      <c r="C1126" s="725"/>
      <c r="D1126" s="538"/>
      <c r="E1126" s="313"/>
      <c r="F1126" s="707"/>
      <c r="G1126" s="707"/>
      <c r="H1126" s="313"/>
      <c r="I1126" s="708"/>
      <c r="L1126" s="564"/>
      <c r="M1126" s="564"/>
      <c r="N1126" s="564"/>
      <c r="O1126" s="653" t="str">
        <f>"Page "&amp;SUM(Q$8:Q1126)&amp;" of "</f>
        <v xml:space="preserve">Page 14 of </v>
      </c>
      <c r="P1126" s="654">
        <f>COUNT(Q$8:Q$57703)</f>
        <v>22</v>
      </c>
      <c r="Q1126" s="655">
        <v>1</v>
      </c>
    </row>
    <row r="1127" spans="1:17">
      <c r="B1127" s="347"/>
      <c r="C1127" s="313"/>
      <c r="D1127" s="538"/>
      <c r="E1127" s="313"/>
      <c r="F1127" s="313"/>
      <c r="G1127" s="313"/>
      <c r="H1127" s="313"/>
      <c r="I1127" s="708"/>
      <c r="J1127" s="313"/>
      <c r="K1127" s="426"/>
    </row>
    <row r="1128" spans="1:17" ht="18">
      <c r="B1128" s="657" t="s">
        <v>466</v>
      </c>
      <c r="C1128" s="739" t="s">
        <v>85</v>
      </c>
      <c r="D1128" s="538"/>
      <c r="E1128" s="313"/>
      <c r="F1128" s="313"/>
      <c r="G1128" s="313"/>
      <c r="H1128" s="313"/>
      <c r="I1128" s="708"/>
      <c r="J1128" s="708"/>
      <c r="K1128" s="730"/>
      <c r="L1128" s="708"/>
      <c r="M1128" s="708"/>
      <c r="N1128" s="708"/>
      <c r="O1128" s="708"/>
    </row>
    <row r="1129" spans="1:17" ht="18.75">
      <c r="B1129" s="657"/>
      <c r="C1129" s="656"/>
      <c r="D1129" s="538"/>
      <c r="E1129" s="313"/>
      <c r="F1129" s="313"/>
      <c r="G1129" s="313"/>
      <c r="H1129" s="313"/>
      <c r="I1129" s="708"/>
      <c r="J1129" s="708"/>
      <c r="K1129" s="730"/>
      <c r="L1129" s="708"/>
      <c r="M1129" s="708"/>
      <c r="N1129" s="708"/>
      <c r="O1129" s="708"/>
    </row>
    <row r="1130" spans="1:17" ht="18.75">
      <c r="B1130" s="657"/>
      <c r="C1130" s="656" t="s">
        <v>86</v>
      </c>
      <c r="D1130" s="538"/>
      <c r="E1130" s="313"/>
      <c r="F1130" s="313"/>
      <c r="G1130" s="313"/>
      <c r="H1130" s="313"/>
      <c r="I1130" s="708"/>
      <c r="J1130" s="708"/>
      <c r="K1130" s="730"/>
      <c r="L1130" s="708"/>
      <c r="M1130" s="708"/>
      <c r="N1130" s="708"/>
      <c r="O1130" s="708"/>
    </row>
    <row r="1131" spans="1:17" ht="15.75" thickBot="1">
      <c r="C1131" s="239"/>
      <c r="D1131" s="538"/>
      <c r="E1131" s="313"/>
      <c r="F1131" s="313"/>
      <c r="G1131" s="313"/>
      <c r="H1131" s="313"/>
      <c r="I1131" s="708"/>
      <c r="J1131" s="708"/>
      <c r="K1131" s="730"/>
      <c r="L1131" s="708"/>
      <c r="M1131" s="708"/>
      <c r="N1131" s="708"/>
      <c r="O1131" s="708"/>
    </row>
    <row r="1132" spans="1:17" ht="15.75">
      <c r="C1132" s="659" t="s">
        <v>87</v>
      </c>
      <c r="D1132" s="538"/>
      <c r="E1132" s="313"/>
      <c r="F1132" s="313"/>
      <c r="G1132" s="313"/>
      <c r="H1132" s="806"/>
      <c r="I1132" s="313" t="s">
        <v>66</v>
      </c>
      <c r="J1132" s="313"/>
      <c r="K1132" s="426"/>
      <c r="L1132" s="835">
        <f>+J1138</f>
        <v>2023</v>
      </c>
      <c r="M1132" s="816" t="s">
        <v>45</v>
      </c>
      <c r="N1132" s="816" t="s">
        <v>46</v>
      </c>
      <c r="O1132" s="817" t="s">
        <v>47</v>
      </c>
    </row>
    <row r="1133" spans="1:17" ht="15.75">
      <c r="C1133" s="659"/>
      <c r="D1133" s="538"/>
      <c r="E1133" s="313"/>
      <c r="F1133" s="313"/>
      <c r="H1133" s="313"/>
      <c r="I1133" s="744"/>
      <c r="J1133" s="744"/>
      <c r="K1133" s="745"/>
      <c r="L1133" s="836" t="s">
        <v>235</v>
      </c>
      <c r="M1133" s="837">
        <f>VLOOKUP(J1138,C1145:P1204,10)</f>
        <v>540794.34076147818</v>
      </c>
      <c r="N1133" s="837">
        <f>VLOOKUP(J1138,C1145:P1204,12)</f>
        <v>540794.34076147818</v>
      </c>
      <c r="O1133" s="838">
        <f>+N1133-M1133</f>
        <v>0</v>
      </c>
    </row>
    <row r="1134" spans="1:17" ht="12.95" customHeight="1">
      <c r="C1134" s="749" t="s">
        <v>88</v>
      </c>
      <c r="D1134" s="1546" t="s">
        <v>822</v>
      </c>
      <c r="E1134" s="1546"/>
      <c r="F1134" s="1546"/>
      <c r="G1134" s="1546"/>
      <c r="H1134" s="1546"/>
      <c r="I1134" s="1546"/>
      <c r="J1134" s="708"/>
      <c r="K1134" s="730"/>
      <c r="L1134" s="836" t="s">
        <v>236</v>
      </c>
      <c r="M1134" s="839">
        <f>VLOOKUP(J1138,C1145:P1204,6)</f>
        <v>517910.95011732716</v>
      </c>
      <c r="N1134" s="839">
        <f>VLOOKUP(J1138,C1145:P1204,7)</f>
        <v>517910.95011732716</v>
      </c>
      <c r="O1134" s="840">
        <f>+N1134-M1134</f>
        <v>0</v>
      </c>
    </row>
    <row r="1135" spans="1:17" ht="13.5" customHeight="1" thickBot="1">
      <c r="C1135" s="753"/>
      <c r="D1135" s="1546" t="s">
        <v>408</v>
      </c>
      <c r="E1135" s="1546"/>
      <c r="F1135" s="1546"/>
      <c r="G1135" s="1546"/>
      <c r="H1135" s="1546"/>
      <c r="I1135" s="1546"/>
      <c r="J1135" s="708"/>
      <c r="K1135" s="730"/>
      <c r="L1135" s="772" t="s">
        <v>237</v>
      </c>
      <c r="M1135" s="841">
        <f>+M1134-M1133</f>
        <v>-22883.390644151019</v>
      </c>
      <c r="N1135" s="841">
        <f>+N1134-N1133</f>
        <v>-22883.390644151019</v>
      </c>
      <c r="O1135" s="842">
        <f>+O1134-O1133</f>
        <v>0</v>
      </c>
    </row>
    <row r="1136" spans="1:17" ht="13.5" thickBot="1">
      <c r="C1136" s="756"/>
      <c r="D1136" s="757"/>
      <c r="E1136" s="755"/>
      <c r="F1136" s="755"/>
      <c r="G1136" s="755"/>
      <c r="H1136" s="755"/>
      <c r="I1136" s="755"/>
      <c r="J1136" s="755"/>
      <c r="K1136" s="758"/>
      <c r="L1136" s="755"/>
      <c r="M1136" s="755"/>
      <c r="N1136" s="755"/>
      <c r="O1136" s="755"/>
      <c r="P1136" s="347"/>
    </row>
    <row r="1137" spans="2:16" ht="13.5" thickBot="1">
      <c r="C1137" s="759" t="s">
        <v>89</v>
      </c>
      <c r="D1137" s="760"/>
      <c r="E1137" s="760"/>
      <c r="F1137" s="760"/>
      <c r="G1137" s="760"/>
      <c r="H1137" s="760"/>
      <c r="I1137" s="760"/>
      <c r="J1137" s="760"/>
      <c r="K1137" s="762"/>
      <c r="P1137" s="763"/>
    </row>
    <row r="1138" spans="2:16" ht="15">
      <c r="C1138" s="764" t="s">
        <v>67</v>
      </c>
      <c r="D1138" s="808">
        <v>3781771.35</v>
      </c>
      <c r="E1138" s="725" t="s">
        <v>68</v>
      </c>
      <c r="H1138" s="765"/>
      <c r="I1138" s="765"/>
      <c r="J1138" s="766">
        <f>$J$93</f>
        <v>2023</v>
      </c>
      <c r="K1138" s="554"/>
      <c r="L1138" s="1536" t="s">
        <v>69</v>
      </c>
      <c r="M1138" s="1536"/>
      <c r="N1138" s="1536"/>
      <c r="O1138" s="1536"/>
      <c r="P1138" s="426"/>
    </row>
    <row r="1139" spans="2:16">
      <c r="C1139" s="764" t="s">
        <v>70</v>
      </c>
      <c r="D1139" s="809">
        <v>2014</v>
      </c>
      <c r="E1139" s="764" t="s">
        <v>71</v>
      </c>
      <c r="F1139" s="765"/>
      <c r="G1139" s="765"/>
      <c r="I1139" s="172"/>
      <c r="J1139" s="810">
        <f>IF(H1132="",0,$F$17)</f>
        <v>0</v>
      </c>
      <c r="K1139" s="767"/>
      <c r="L1139" s="730" t="s">
        <v>277</v>
      </c>
      <c r="P1139" s="426"/>
    </row>
    <row r="1140" spans="2:16">
      <c r="C1140" s="764" t="s">
        <v>72</v>
      </c>
      <c r="D1140" s="808">
        <v>9</v>
      </c>
      <c r="E1140" s="764" t="s">
        <v>73</v>
      </c>
      <c r="F1140" s="765"/>
      <c r="G1140" s="765"/>
      <c r="I1140" s="172"/>
      <c r="J1140" s="768">
        <f>$F$70</f>
        <v>0.14450383244078713</v>
      </c>
      <c r="K1140" s="769"/>
      <c r="L1140" s="313" t="str">
        <f>"          INPUT TRUE-UP ARR (WITH &amp; WITHOUT INCENTIVES) FROM EACH PRIOR YEAR"</f>
        <v xml:space="preserve">          INPUT TRUE-UP ARR (WITH &amp; WITHOUT INCENTIVES) FROM EACH PRIOR YEAR</v>
      </c>
      <c r="P1140" s="426"/>
    </row>
    <row r="1141" spans="2:16">
      <c r="C1141" s="764" t="s">
        <v>74</v>
      </c>
      <c r="D1141" s="770">
        <f>H$79</f>
        <v>35</v>
      </c>
      <c r="E1141" s="764" t="s">
        <v>75</v>
      </c>
      <c r="F1141" s="765"/>
      <c r="G1141" s="765"/>
      <c r="I1141" s="172"/>
      <c r="J1141" s="768">
        <f>IF(H1132="",+J1140,$F$69)</f>
        <v>0.14450383244078713</v>
      </c>
      <c r="K1141" s="771"/>
      <c r="L1141" s="313" t="s">
        <v>157</v>
      </c>
      <c r="M1141" s="771"/>
      <c r="N1141" s="771"/>
      <c r="O1141" s="771"/>
      <c r="P1141" s="426"/>
    </row>
    <row r="1142" spans="2:16" ht="13.5" thickBot="1">
      <c r="C1142" s="764" t="s">
        <v>76</v>
      </c>
      <c r="D1142" s="807" t="s">
        <v>808</v>
      </c>
      <c r="E1142" s="772" t="s">
        <v>77</v>
      </c>
      <c r="F1142" s="773"/>
      <c r="G1142" s="773"/>
      <c r="H1142" s="774"/>
      <c r="I1142" s="774"/>
      <c r="J1142" s="752">
        <f>IF(D1138=0,0,D1138/D1141)</f>
        <v>108050.61</v>
      </c>
      <c r="K1142" s="730"/>
      <c r="L1142" s="730" t="s">
        <v>158</v>
      </c>
      <c r="M1142" s="730"/>
      <c r="N1142" s="730"/>
      <c r="O1142" s="730"/>
      <c r="P1142" s="426"/>
    </row>
    <row r="1143" spans="2:16" ht="38.25">
      <c r="B1143" s="845"/>
      <c r="C1143" s="775" t="s">
        <v>67</v>
      </c>
      <c r="D1143" s="776" t="s">
        <v>78</v>
      </c>
      <c r="E1143" s="777" t="s">
        <v>79</v>
      </c>
      <c r="F1143" s="776" t="s">
        <v>80</v>
      </c>
      <c r="G1143" s="776" t="s">
        <v>238</v>
      </c>
      <c r="H1143" s="777" t="s">
        <v>151</v>
      </c>
      <c r="I1143" s="778" t="s">
        <v>151</v>
      </c>
      <c r="J1143" s="775" t="s">
        <v>90</v>
      </c>
      <c r="K1143" s="779"/>
      <c r="L1143" s="777" t="s">
        <v>153</v>
      </c>
      <c r="M1143" s="777" t="s">
        <v>159</v>
      </c>
      <c r="N1143" s="777" t="s">
        <v>153</v>
      </c>
      <c r="O1143" s="777" t="s">
        <v>161</v>
      </c>
      <c r="P1143" s="777" t="s">
        <v>81</v>
      </c>
    </row>
    <row r="1144" spans="2:16" ht="13.5" thickBot="1">
      <c r="C1144" s="781" t="s">
        <v>469</v>
      </c>
      <c r="D1144" s="782" t="s">
        <v>470</v>
      </c>
      <c r="E1144" s="781" t="s">
        <v>363</v>
      </c>
      <c r="F1144" s="782" t="s">
        <v>470</v>
      </c>
      <c r="G1144" s="782" t="s">
        <v>470</v>
      </c>
      <c r="H1144" s="783" t="s">
        <v>93</v>
      </c>
      <c r="I1144" s="784" t="s">
        <v>95</v>
      </c>
      <c r="J1144" s="785" t="s">
        <v>15</v>
      </c>
      <c r="K1144" s="786"/>
      <c r="L1144" s="783" t="s">
        <v>82</v>
      </c>
      <c r="M1144" s="783" t="s">
        <v>82</v>
      </c>
      <c r="N1144" s="783" t="s">
        <v>255</v>
      </c>
      <c r="O1144" s="783" t="s">
        <v>255</v>
      </c>
      <c r="P1144" s="783" t="s">
        <v>255</v>
      </c>
    </row>
    <row r="1145" spans="2:16">
      <c r="C1145" s="788">
        <f>IF(D1139= "","-",D1139)</f>
        <v>2014</v>
      </c>
      <c r="D1145" s="736">
        <f>+D1138</f>
        <v>3781771.35</v>
      </c>
      <c r="E1145" s="794">
        <f>+J1142/12*(12-D1140)</f>
        <v>27012.652500000004</v>
      </c>
      <c r="F1145" s="843">
        <f t="shared" ref="F1145:F1204" si="101">+D1145-E1145</f>
        <v>3754758.6975000002</v>
      </c>
      <c r="G1145" s="736">
        <f>+(D1145+F1145)/2</f>
        <v>3768265.0237500002</v>
      </c>
      <c r="H1145" s="790">
        <f>+J1140*G1145+E1145</f>
        <v>571541.39008444874</v>
      </c>
      <c r="I1145" s="791">
        <f>+J1141*G1145+E1145</f>
        <v>571541.39008444874</v>
      </c>
      <c r="J1145" s="792">
        <f>+I1145-H1145</f>
        <v>0</v>
      </c>
      <c r="K1145" s="792"/>
      <c r="L1145" s="811">
        <v>2808368</v>
      </c>
      <c r="M1145" s="844">
        <f t="shared" ref="M1145:M1204" si="102">IF(L1145&lt;&gt;0,+H1145-L1145,0)</f>
        <v>-2236826.6099155513</v>
      </c>
      <c r="N1145" s="811">
        <v>2808368</v>
      </c>
      <c r="O1145" s="844">
        <f t="shared" ref="O1145:O1204" si="103">IF(N1145&lt;&gt;0,+I1145-N1145,0)</f>
        <v>-2236826.6099155513</v>
      </c>
      <c r="P1145" s="844">
        <f t="shared" ref="P1145:P1204" si="104">+O1145-M1145</f>
        <v>0</v>
      </c>
    </row>
    <row r="1146" spans="2:16">
      <c r="C1146" s="788">
        <f>IF(D1139="","-",+C1145+1)</f>
        <v>2015</v>
      </c>
      <c r="D1146" s="736">
        <f t="shared" ref="D1146:D1204" si="105">F1145</f>
        <v>3754758.6975000002</v>
      </c>
      <c r="E1146" s="789">
        <f>IF(D1146&gt;$J$1142,$J$1142,D1146)</f>
        <v>108050.61</v>
      </c>
      <c r="F1146" s="789">
        <f t="shared" si="101"/>
        <v>3646708.0875000004</v>
      </c>
      <c r="G1146" s="736">
        <f t="shared" ref="G1146:G1204" si="106">+(D1146+F1146)/2</f>
        <v>3700733.3925000001</v>
      </c>
      <c r="H1146" s="794">
        <f>+J1140*G1146+E1146</f>
        <v>642820.76805784565</v>
      </c>
      <c r="I1146" s="795">
        <f>+J1141*G1146+E1146</f>
        <v>642820.76805784565</v>
      </c>
      <c r="J1146" s="792">
        <f>+I1146-H1146</f>
        <v>0</v>
      </c>
      <c r="K1146" s="792"/>
      <c r="L1146" s="812">
        <v>492192</v>
      </c>
      <c r="M1146" s="792">
        <f t="shared" si="102"/>
        <v>150628.76805784565</v>
      </c>
      <c r="N1146" s="812">
        <v>492192</v>
      </c>
      <c r="O1146" s="792">
        <f t="shared" si="103"/>
        <v>150628.76805784565</v>
      </c>
      <c r="P1146" s="792">
        <f t="shared" si="104"/>
        <v>0</v>
      </c>
    </row>
    <row r="1147" spans="2:16">
      <c r="C1147" s="788">
        <f>IF(D1139="","-",+C1146+1)</f>
        <v>2016</v>
      </c>
      <c r="D1147" s="736">
        <f t="shared" si="105"/>
        <v>3646708.0875000004</v>
      </c>
      <c r="E1147" s="789">
        <f t="shared" ref="E1147:E1204" si="107">IF(D1147&gt;$J$1142,$J$1142,D1147)</f>
        <v>108050.61</v>
      </c>
      <c r="F1147" s="789">
        <f t="shared" si="101"/>
        <v>3538657.4775000005</v>
      </c>
      <c r="G1147" s="736">
        <f t="shared" si="106"/>
        <v>3592682.7825000007</v>
      </c>
      <c r="H1147" s="794">
        <f>+J1140*G1147+E1147</f>
        <v>627207.04081528098</v>
      </c>
      <c r="I1147" s="795">
        <f>+J1141*G1147+E1147</f>
        <v>627207.04081528098</v>
      </c>
      <c r="J1147" s="792">
        <f t="shared" ref="J1147:J1204" si="108">+I1147-H1147</f>
        <v>0</v>
      </c>
      <c r="K1147" s="792"/>
      <c r="L1147" s="812">
        <v>539235.69862776529</v>
      </c>
      <c r="M1147" s="792">
        <f t="shared" si="102"/>
        <v>87971.342187515693</v>
      </c>
      <c r="N1147" s="812">
        <v>539235.69862776529</v>
      </c>
      <c r="O1147" s="792">
        <f t="shared" si="103"/>
        <v>87971.342187515693</v>
      </c>
      <c r="P1147" s="792">
        <f t="shared" si="104"/>
        <v>0</v>
      </c>
    </row>
    <row r="1148" spans="2:16">
      <c r="C1148" s="788">
        <f>IF(D1139="","-",+C1147+1)</f>
        <v>2017</v>
      </c>
      <c r="D1148" s="1321">
        <f t="shared" si="105"/>
        <v>3538657.4775000005</v>
      </c>
      <c r="E1148" s="789">
        <f t="shared" si="107"/>
        <v>108050.61</v>
      </c>
      <c r="F1148" s="789">
        <f t="shared" si="101"/>
        <v>3430606.8675000006</v>
      </c>
      <c r="G1148" s="736">
        <f t="shared" si="106"/>
        <v>3484632.1725000003</v>
      </c>
      <c r="H1148" s="794">
        <f>+J1140*G1148+E1148</f>
        <v>611593.31357271608</v>
      </c>
      <c r="I1148" s="795">
        <f>+J1141*G1148+E1148</f>
        <v>611593.31357271608</v>
      </c>
      <c r="J1148" s="792">
        <f t="shared" si="108"/>
        <v>0</v>
      </c>
      <c r="K1148" s="792"/>
      <c r="L1148" s="812">
        <v>646665</v>
      </c>
      <c r="M1148" s="792">
        <f t="shared" si="102"/>
        <v>-35071.686427283916</v>
      </c>
      <c r="N1148" s="812">
        <v>646665</v>
      </c>
      <c r="O1148" s="792">
        <f t="shared" si="103"/>
        <v>-35071.686427283916</v>
      </c>
      <c r="P1148" s="792">
        <f t="shared" si="104"/>
        <v>0</v>
      </c>
    </row>
    <row r="1149" spans="2:16">
      <c r="C1149" s="788">
        <f>IF(D1139="","-",+C1148+1)</f>
        <v>2018</v>
      </c>
      <c r="D1149" s="1402">
        <f t="shared" si="105"/>
        <v>3430606.8675000006</v>
      </c>
      <c r="E1149" s="789">
        <f t="shared" si="107"/>
        <v>108050.61</v>
      </c>
      <c r="F1149" s="789">
        <f t="shared" si="101"/>
        <v>3322556.2575000008</v>
      </c>
      <c r="G1149" s="736">
        <f t="shared" si="106"/>
        <v>3376581.5625000009</v>
      </c>
      <c r="H1149" s="794">
        <f>+J1140*G1149+E1149</f>
        <v>595979.5863301513</v>
      </c>
      <c r="I1149" s="795">
        <f>+J1141*G1149+E1149</f>
        <v>595979.5863301513</v>
      </c>
      <c r="J1149" s="792">
        <f t="shared" si="108"/>
        <v>0</v>
      </c>
      <c r="K1149" s="792"/>
      <c r="L1149" s="812">
        <v>574858</v>
      </c>
      <c r="M1149" s="792">
        <f t="shared" si="102"/>
        <v>21121.586330151302</v>
      </c>
      <c r="N1149" s="812">
        <v>574858</v>
      </c>
      <c r="O1149" s="792">
        <f t="shared" si="103"/>
        <v>21121.586330151302</v>
      </c>
      <c r="P1149" s="792">
        <f t="shared" si="104"/>
        <v>0</v>
      </c>
    </row>
    <row r="1150" spans="2:16">
      <c r="C1150" s="788">
        <f>IF(D1139="","-",+C1149+1)</f>
        <v>2019</v>
      </c>
      <c r="D1150" s="1321">
        <f t="shared" si="105"/>
        <v>3322556.2575000008</v>
      </c>
      <c r="E1150" s="789">
        <f t="shared" si="107"/>
        <v>108050.61</v>
      </c>
      <c r="F1150" s="789">
        <f t="shared" si="101"/>
        <v>3214505.6475000009</v>
      </c>
      <c r="G1150" s="736">
        <f t="shared" si="106"/>
        <v>3268530.9525000006</v>
      </c>
      <c r="H1150" s="794">
        <f>+J1140*G1150+E1150</f>
        <v>580365.8590875864</v>
      </c>
      <c r="I1150" s="795">
        <f>+J1141*G1150+E1150</f>
        <v>580365.8590875864</v>
      </c>
      <c r="J1150" s="792">
        <f t="shared" si="108"/>
        <v>0</v>
      </c>
      <c r="K1150" s="792"/>
      <c r="L1150" s="812">
        <v>589080.99685115856</v>
      </c>
      <c r="M1150" s="792">
        <f t="shared" si="102"/>
        <v>-8715.1377635721583</v>
      </c>
      <c r="N1150" s="812">
        <v>589080.99685115856</v>
      </c>
      <c r="O1150" s="792">
        <f t="shared" si="103"/>
        <v>-8715.1377635721583</v>
      </c>
      <c r="P1150" s="792">
        <f t="shared" si="104"/>
        <v>0</v>
      </c>
    </row>
    <row r="1151" spans="2:16">
      <c r="C1151" s="788">
        <f>IF(D1139="","-",+C1150+1)</f>
        <v>2020</v>
      </c>
      <c r="D1151" s="1321">
        <f t="shared" si="105"/>
        <v>3214505.6475000009</v>
      </c>
      <c r="E1151" s="789">
        <f t="shared" si="107"/>
        <v>108050.61</v>
      </c>
      <c r="F1151" s="789">
        <f t="shared" si="101"/>
        <v>3106455.037500001</v>
      </c>
      <c r="G1151" s="736">
        <f t="shared" si="106"/>
        <v>3160480.3425000012</v>
      </c>
      <c r="H1151" s="794">
        <f>+J1140*G1151+E1151</f>
        <v>564752.13184502174</v>
      </c>
      <c r="I1151" s="795">
        <f>+J1141*G1151+E1151</f>
        <v>564752.13184502174</v>
      </c>
      <c r="J1151" s="792">
        <f t="shared" si="108"/>
        <v>0</v>
      </c>
      <c r="K1151" s="792"/>
      <c r="L1151" s="812">
        <v>616709.80045152281</v>
      </c>
      <c r="M1151" s="792">
        <f t="shared" si="102"/>
        <v>-51957.668606501073</v>
      </c>
      <c r="N1151" s="812">
        <v>616709.80045152281</v>
      </c>
      <c r="O1151" s="792">
        <f t="shared" si="103"/>
        <v>-51957.668606501073</v>
      </c>
      <c r="P1151" s="792">
        <f t="shared" si="104"/>
        <v>0</v>
      </c>
    </row>
    <row r="1152" spans="2:16">
      <c r="C1152" s="788">
        <f>IF(D1139="","-",+C1151+1)</f>
        <v>2021</v>
      </c>
      <c r="D1152" s="1321">
        <f t="shared" si="105"/>
        <v>3106455.037500001</v>
      </c>
      <c r="E1152" s="789">
        <f t="shared" si="107"/>
        <v>108050.61</v>
      </c>
      <c r="F1152" s="789">
        <f t="shared" si="101"/>
        <v>2998404.4275000012</v>
      </c>
      <c r="G1152" s="736">
        <f t="shared" si="106"/>
        <v>3052429.7325000009</v>
      </c>
      <c r="H1152" s="794">
        <f>+J1140*G1152+E1152</f>
        <v>549138.40460245684</v>
      </c>
      <c r="I1152" s="795">
        <f>+J1141*G1152+E1152</f>
        <v>549138.40460245684</v>
      </c>
      <c r="J1152" s="792">
        <f t="shared" si="108"/>
        <v>0</v>
      </c>
      <c r="K1152" s="792"/>
      <c r="L1152" s="812">
        <v>556326.01986272004</v>
      </c>
      <c r="M1152" s="792">
        <f t="shared" si="102"/>
        <v>-7187.6152602632064</v>
      </c>
      <c r="N1152" s="812">
        <v>556326.01986272004</v>
      </c>
      <c r="O1152" s="792">
        <f t="shared" si="103"/>
        <v>-7187.6152602632064</v>
      </c>
      <c r="P1152" s="792">
        <f t="shared" si="104"/>
        <v>0</v>
      </c>
    </row>
    <row r="1153" spans="3:16">
      <c r="C1153" s="788">
        <f>IF(D1139="","-",+C1152+1)</f>
        <v>2022</v>
      </c>
      <c r="D1153" s="736">
        <f t="shared" si="105"/>
        <v>2998404.4275000012</v>
      </c>
      <c r="E1153" s="789">
        <f t="shared" si="107"/>
        <v>108050.61</v>
      </c>
      <c r="F1153" s="789">
        <f t="shared" si="101"/>
        <v>2890353.8175000013</v>
      </c>
      <c r="G1153" s="736">
        <f t="shared" si="106"/>
        <v>2944379.1225000015</v>
      </c>
      <c r="H1153" s="794">
        <f>+J1140*G1153+E1153</f>
        <v>533524.67735989206</v>
      </c>
      <c r="I1153" s="795">
        <f>+J1141*G1153+E1153</f>
        <v>533524.67735989206</v>
      </c>
      <c r="J1153" s="792">
        <f t="shared" si="108"/>
        <v>0</v>
      </c>
      <c r="K1153" s="792"/>
      <c r="L1153" s="812">
        <v>555205.12375034532</v>
      </c>
      <c r="M1153" s="792">
        <f t="shared" si="102"/>
        <v>-21680.44639045326</v>
      </c>
      <c r="N1153" s="812">
        <v>555205.12375034532</v>
      </c>
      <c r="O1153" s="792">
        <f t="shared" si="103"/>
        <v>-21680.44639045326</v>
      </c>
      <c r="P1153" s="792">
        <f t="shared" si="104"/>
        <v>0</v>
      </c>
    </row>
    <row r="1154" spans="3:16">
      <c r="C1154" s="788">
        <f>IF(D1139="","-",+C1153+1)</f>
        <v>2023</v>
      </c>
      <c r="D1154" s="736">
        <f t="shared" si="105"/>
        <v>2890353.8175000013</v>
      </c>
      <c r="E1154" s="789">
        <f t="shared" si="107"/>
        <v>108050.61</v>
      </c>
      <c r="F1154" s="789">
        <f t="shared" si="101"/>
        <v>2782303.2075000014</v>
      </c>
      <c r="G1154" s="736">
        <f t="shared" si="106"/>
        <v>2836328.5125000011</v>
      </c>
      <c r="H1154" s="794">
        <f>+J1140*G1154+E1154</f>
        <v>517910.95011732716</v>
      </c>
      <c r="I1154" s="795">
        <f>+J1141*G1154+E1154</f>
        <v>517910.95011732716</v>
      </c>
      <c r="J1154" s="792">
        <f t="shared" si="108"/>
        <v>0</v>
      </c>
      <c r="K1154" s="792"/>
      <c r="L1154" s="812">
        <v>540794.34076147818</v>
      </c>
      <c r="M1154" s="792">
        <f t="shared" si="102"/>
        <v>-22883.390644151019</v>
      </c>
      <c r="N1154" s="812">
        <v>540794.34076147818</v>
      </c>
      <c r="O1154" s="792">
        <f t="shared" si="103"/>
        <v>-22883.390644151019</v>
      </c>
      <c r="P1154" s="792">
        <f t="shared" si="104"/>
        <v>0</v>
      </c>
    </row>
    <row r="1155" spans="3:16">
      <c r="C1155" s="788">
        <f>IF(D1139="","-",+C1154+1)</f>
        <v>2024</v>
      </c>
      <c r="D1155" s="736">
        <f t="shared" si="105"/>
        <v>2782303.2075000014</v>
      </c>
      <c r="E1155" s="789">
        <f t="shared" si="107"/>
        <v>108050.61</v>
      </c>
      <c r="F1155" s="789">
        <f t="shared" si="101"/>
        <v>2674252.5975000015</v>
      </c>
      <c r="G1155" s="736">
        <f t="shared" si="106"/>
        <v>2728277.9025000017</v>
      </c>
      <c r="H1155" s="794">
        <f>+J1140*G1155+E1155</f>
        <v>502297.22287476237</v>
      </c>
      <c r="I1155" s="795">
        <f>+J1141*G1155+E1155</f>
        <v>502297.22287476237</v>
      </c>
      <c r="J1155" s="792">
        <f t="shared" si="108"/>
        <v>0</v>
      </c>
      <c r="K1155" s="792"/>
      <c r="L1155" s="812"/>
      <c r="M1155" s="792">
        <f t="shared" si="102"/>
        <v>0</v>
      </c>
      <c r="N1155" s="812"/>
      <c r="O1155" s="792">
        <f t="shared" si="103"/>
        <v>0</v>
      </c>
      <c r="P1155" s="792">
        <f t="shared" si="104"/>
        <v>0</v>
      </c>
    </row>
    <row r="1156" spans="3:16">
      <c r="C1156" s="788">
        <f>IF(D1139="","-",+C1155+1)</f>
        <v>2025</v>
      </c>
      <c r="D1156" s="736">
        <f t="shared" si="105"/>
        <v>2674252.5975000015</v>
      </c>
      <c r="E1156" s="789">
        <f t="shared" si="107"/>
        <v>108050.61</v>
      </c>
      <c r="F1156" s="789">
        <f t="shared" si="101"/>
        <v>2566201.9875000017</v>
      </c>
      <c r="G1156" s="736">
        <f t="shared" si="106"/>
        <v>2620227.2925000014</v>
      </c>
      <c r="H1156" s="794">
        <f>+J1140*G1156+E1156</f>
        <v>486683.49563219753</v>
      </c>
      <c r="I1156" s="795">
        <f>+J1141*G1156+E1156</f>
        <v>486683.49563219753</v>
      </c>
      <c r="J1156" s="792">
        <f t="shared" si="108"/>
        <v>0</v>
      </c>
      <c r="K1156" s="792"/>
      <c r="L1156" s="812"/>
      <c r="M1156" s="792">
        <f t="shared" si="102"/>
        <v>0</v>
      </c>
      <c r="N1156" s="812"/>
      <c r="O1156" s="792">
        <f t="shared" si="103"/>
        <v>0</v>
      </c>
      <c r="P1156" s="792">
        <f t="shared" si="104"/>
        <v>0</v>
      </c>
    </row>
    <row r="1157" spans="3:16">
      <c r="C1157" s="788">
        <f>IF(D1139="","-",+C1156+1)</f>
        <v>2026</v>
      </c>
      <c r="D1157" s="736">
        <f t="shared" si="105"/>
        <v>2566201.9875000017</v>
      </c>
      <c r="E1157" s="789">
        <f t="shared" si="107"/>
        <v>108050.61</v>
      </c>
      <c r="F1157" s="789">
        <f t="shared" si="101"/>
        <v>2458151.3775000018</v>
      </c>
      <c r="G1157" s="736">
        <f t="shared" si="106"/>
        <v>2512176.682500002</v>
      </c>
      <c r="H1157" s="794">
        <f>+J1140*G1157+E1157</f>
        <v>471069.76838963275</v>
      </c>
      <c r="I1157" s="795">
        <f>+J1141*G1157+E1157</f>
        <v>471069.76838963275</v>
      </c>
      <c r="J1157" s="792">
        <f t="shared" si="108"/>
        <v>0</v>
      </c>
      <c r="K1157" s="792"/>
      <c r="L1157" s="812"/>
      <c r="M1157" s="792">
        <f t="shared" si="102"/>
        <v>0</v>
      </c>
      <c r="N1157" s="812"/>
      <c r="O1157" s="792">
        <f t="shared" si="103"/>
        <v>0</v>
      </c>
      <c r="P1157" s="792">
        <f t="shared" si="104"/>
        <v>0</v>
      </c>
    </row>
    <row r="1158" spans="3:16">
      <c r="C1158" s="788">
        <f>IF(D1139="","-",+C1157+1)</f>
        <v>2027</v>
      </c>
      <c r="D1158" s="736">
        <f t="shared" si="105"/>
        <v>2458151.3775000018</v>
      </c>
      <c r="E1158" s="789">
        <f t="shared" si="107"/>
        <v>108050.61</v>
      </c>
      <c r="F1158" s="789">
        <f t="shared" si="101"/>
        <v>2350100.7675000019</v>
      </c>
      <c r="G1158" s="736">
        <f t="shared" si="106"/>
        <v>2404126.0725000016</v>
      </c>
      <c r="H1158" s="794">
        <f>+J1140*G1158+E1158</f>
        <v>455456.04114706785</v>
      </c>
      <c r="I1158" s="795">
        <f>+J1141*G1158+E1158</f>
        <v>455456.04114706785</v>
      </c>
      <c r="J1158" s="792">
        <f t="shared" si="108"/>
        <v>0</v>
      </c>
      <c r="K1158" s="792"/>
      <c r="L1158" s="812"/>
      <c r="M1158" s="792">
        <f t="shared" si="102"/>
        <v>0</v>
      </c>
      <c r="N1158" s="812"/>
      <c r="O1158" s="792">
        <f t="shared" si="103"/>
        <v>0</v>
      </c>
      <c r="P1158" s="792">
        <f t="shared" si="104"/>
        <v>0</v>
      </c>
    </row>
    <row r="1159" spans="3:16">
      <c r="C1159" s="788">
        <f>IF(D1139="","-",+C1158+1)</f>
        <v>2028</v>
      </c>
      <c r="D1159" s="736">
        <f t="shared" si="105"/>
        <v>2350100.7675000019</v>
      </c>
      <c r="E1159" s="789">
        <f t="shared" si="107"/>
        <v>108050.61</v>
      </c>
      <c r="F1159" s="789">
        <f t="shared" si="101"/>
        <v>2242050.1575000021</v>
      </c>
      <c r="G1159" s="736">
        <f t="shared" si="106"/>
        <v>2296075.4625000022</v>
      </c>
      <c r="H1159" s="794">
        <f>+J1140*G1159+E1159</f>
        <v>439842.31390450313</v>
      </c>
      <c r="I1159" s="795">
        <f>+J1141*G1159+E1159</f>
        <v>439842.31390450313</v>
      </c>
      <c r="J1159" s="792">
        <f t="shared" si="108"/>
        <v>0</v>
      </c>
      <c r="K1159" s="792"/>
      <c r="L1159" s="812"/>
      <c r="M1159" s="792">
        <f t="shared" si="102"/>
        <v>0</v>
      </c>
      <c r="N1159" s="812"/>
      <c r="O1159" s="792">
        <f t="shared" si="103"/>
        <v>0</v>
      </c>
      <c r="P1159" s="792">
        <f t="shared" si="104"/>
        <v>0</v>
      </c>
    </row>
    <row r="1160" spans="3:16">
      <c r="C1160" s="788">
        <f>IF(D1139="","-",+C1159+1)</f>
        <v>2029</v>
      </c>
      <c r="D1160" s="736">
        <f t="shared" si="105"/>
        <v>2242050.1575000021</v>
      </c>
      <c r="E1160" s="789">
        <f t="shared" si="107"/>
        <v>108050.61</v>
      </c>
      <c r="F1160" s="789">
        <f t="shared" si="101"/>
        <v>2133999.5475000022</v>
      </c>
      <c r="G1160" s="736">
        <f t="shared" si="106"/>
        <v>2188024.8525000019</v>
      </c>
      <c r="H1160" s="794">
        <f>+J1140*G1160+E1160</f>
        <v>424228.58666193823</v>
      </c>
      <c r="I1160" s="795">
        <f>+J1141*G1160+E1160</f>
        <v>424228.58666193823</v>
      </c>
      <c r="J1160" s="792">
        <f t="shared" si="108"/>
        <v>0</v>
      </c>
      <c r="K1160" s="792"/>
      <c r="L1160" s="812"/>
      <c r="M1160" s="792">
        <f t="shared" si="102"/>
        <v>0</v>
      </c>
      <c r="N1160" s="812"/>
      <c r="O1160" s="792">
        <f t="shared" si="103"/>
        <v>0</v>
      </c>
      <c r="P1160" s="792">
        <f t="shared" si="104"/>
        <v>0</v>
      </c>
    </row>
    <row r="1161" spans="3:16">
      <c r="C1161" s="788">
        <f>IF(D1139="","-",+C1160+1)</f>
        <v>2030</v>
      </c>
      <c r="D1161" s="736">
        <f t="shared" si="105"/>
        <v>2133999.5475000022</v>
      </c>
      <c r="E1161" s="789">
        <f t="shared" si="107"/>
        <v>108050.61</v>
      </c>
      <c r="F1161" s="789">
        <f t="shared" si="101"/>
        <v>2025948.9375000021</v>
      </c>
      <c r="G1161" s="736">
        <f t="shared" si="106"/>
        <v>2079974.242500002</v>
      </c>
      <c r="H1161" s="794">
        <f>+J1140*G1161+E1161</f>
        <v>408614.85941937339</v>
      </c>
      <c r="I1161" s="795">
        <f>+J1141*G1161+E1161</f>
        <v>408614.85941937339</v>
      </c>
      <c r="J1161" s="792">
        <f t="shared" si="108"/>
        <v>0</v>
      </c>
      <c r="K1161" s="792"/>
      <c r="L1161" s="812"/>
      <c r="M1161" s="792">
        <f t="shared" si="102"/>
        <v>0</v>
      </c>
      <c r="N1161" s="812"/>
      <c r="O1161" s="792">
        <f t="shared" si="103"/>
        <v>0</v>
      </c>
      <c r="P1161" s="792">
        <f t="shared" si="104"/>
        <v>0</v>
      </c>
    </row>
    <row r="1162" spans="3:16">
      <c r="C1162" s="788">
        <f>IF(D1139="","-",+C1161+1)</f>
        <v>2031</v>
      </c>
      <c r="D1162" s="736">
        <f t="shared" si="105"/>
        <v>2025948.9375000021</v>
      </c>
      <c r="E1162" s="789">
        <f t="shared" si="107"/>
        <v>108050.61</v>
      </c>
      <c r="F1162" s="789">
        <f t="shared" si="101"/>
        <v>1917898.327500002</v>
      </c>
      <c r="G1162" s="736">
        <f t="shared" si="106"/>
        <v>1971923.6325000022</v>
      </c>
      <c r="H1162" s="794">
        <f>+J1140*G1162+E1162</f>
        <v>393001.13217680861</v>
      </c>
      <c r="I1162" s="795">
        <f>+J1141*G1162+E1162</f>
        <v>393001.13217680861</v>
      </c>
      <c r="J1162" s="792">
        <f t="shared" si="108"/>
        <v>0</v>
      </c>
      <c r="K1162" s="792"/>
      <c r="L1162" s="812"/>
      <c r="M1162" s="792">
        <f t="shared" si="102"/>
        <v>0</v>
      </c>
      <c r="N1162" s="812"/>
      <c r="O1162" s="792">
        <f t="shared" si="103"/>
        <v>0</v>
      </c>
      <c r="P1162" s="792">
        <f t="shared" si="104"/>
        <v>0</v>
      </c>
    </row>
    <row r="1163" spans="3:16">
      <c r="C1163" s="788">
        <f>IF(D1139="","-",+C1162+1)</f>
        <v>2032</v>
      </c>
      <c r="D1163" s="736">
        <f t="shared" si="105"/>
        <v>1917898.327500002</v>
      </c>
      <c r="E1163" s="789">
        <f t="shared" si="107"/>
        <v>108050.61</v>
      </c>
      <c r="F1163" s="789">
        <f t="shared" si="101"/>
        <v>1809847.7175000019</v>
      </c>
      <c r="G1163" s="736">
        <f t="shared" si="106"/>
        <v>1863873.0225000018</v>
      </c>
      <c r="H1163" s="794">
        <f>+J1140*G1163+E1163</f>
        <v>377387.40493424371</v>
      </c>
      <c r="I1163" s="795">
        <f>+J1141*G1163+E1163</f>
        <v>377387.40493424371</v>
      </c>
      <c r="J1163" s="792">
        <f t="shared" si="108"/>
        <v>0</v>
      </c>
      <c r="K1163" s="792"/>
      <c r="L1163" s="812"/>
      <c r="M1163" s="792">
        <f t="shared" si="102"/>
        <v>0</v>
      </c>
      <c r="N1163" s="812"/>
      <c r="O1163" s="792">
        <f t="shared" si="103"/>
        <v>0</v>
      </c>
      <c r="P1163" s="792">
        <f t="shared" si="104"/>
        <v>0</v>
      </c>
    </row>
    <row r="1164" spans="3:16">
      <c r="C1164" s="788">
        <f>IF(D1139="","-",+C1163+1)</f>
        <v>2033</v>
      </c>
      <c r="D1164" s="736">
        <f t="shared" si="105"/>
        <v>1809847.7175000019</v>
      </c>
      <c r="E1164" s="789">
        <f t="shared" si="107"/>
        <v>108050.61</v>
      </c>
      <c r="F1164" s="789">
        <f t="shared" si="101"/>
        <v>1701797.1075000018</v>
      </c>
      <c r="G1164" s="736">
        <f t="shared" si="106"/>
        <v>1755822.412500002</v>
      </c>
      <c r="H1164" s="794">
        <f>+J1140*G1164+E1164</f>
        <v>361773.67769167892</v>
      </c>
      <c r="I1164" s="795">
        <f>+J1141*G1164+E1164</f>
        <v>361773.67769167892</v>
      </c>
      <c r="J1164" s="792">
        <f t="shared" si="108"/>
        <v>0</v>
      </c>
      <c r="K1164" s="792"/>
      <c r="L1164" s="812"/>
      <c r="M1164" s="792">
        <f t="shared" si="102"/>
        <v>0</v>
      </c>
      <c r="N1164" s="812"/>
      <c r="O1164" s="792">
        <f t="shared" si="103"/>
        <v>0</v>
      </c>
      <c r="P1164" s="792">
        <f t="shared" si="104"/>
        <v>0</v>
      </c>
    </row>
    <row r="1165" spans="3:16">
      <c r="C1165" s="788">
        <f>IF(D1139="","-",+C1164+1)</f>
        <v>2034</v>
      </c>
      <c r="D1165" s="736">
        <f t="shared" si="105"/>
        <v>1701797.1075000018</v>
      </c>
      <c r="E1165" s="789">
        <f t="shared" si="107"/>
        <v>108050.61</v>
      </c>
      <c r="F1165" s="789">
        <f t="shared" si="101"/>
        <v>1593746.4975000017</v>
      </c>
      <c r="G1165" s="736">
        <f t="shared" si="106"/>
        <v>1647771.8025000016</v>
      </c>
      <c r="H1165" s="794">
        <f>+J1140*G1165+E1165</f>
        <v>346159.95044911403</v>
      </c>
      <c r="I1165" s="795">
        <f>+J1141*G1165+E1165</f>
        <v>346159.95044911403</v>
      </c>
      <c r="J1165" s="792">
        <f t="shared" si="108"/>
        <v>0</v>
      </c>
      <c r="K1165" s="792"/>
      <c r="L1165" s="812"/>
      <c r="M1165" s="792">
        <f t="shared" si="102"/>
        <v>0</v>
      </c>
      <c r="N1165" s="812"/>
      <c r="O1165" s="792">
        <f t="shared" si="103"/>
        <v>0</v>
      </c>
      <c r="P1165" s="792">
        <f t="shared" si="104"/>
        <v>0</v>
      </c>
    </row>
    <row r="1166" spans="3:16">
      <c r="C1166" s="788">
        <f>IF(D1139="","-",+C1165+1)</f>
        <v>2035</v>
      </c>
      <c r="D1166" s="736">
        <f t="shared" si="105"/>
        <v>1593746.4975000017</v>
      </c>
      <c r="E1166" s="789">
        <f t="shared" si="107"/>
        <v>108050.61</v>
      </c>
      <c r="F1166" s="789">
        <f t="shared" si="101"/>
        <v>1485695.8875000016</v>
      </c>
      <c r="G1166" s="736">
        <f t="shared" si="106"/>
        <v>1539721.1925000018</v>
      </c>
      <c r="H1166" s="794">
        <f>+J1140*G1166+E1166</f>
        <v>330546.22320654918</v>
      </c>
      <c r="I1166" s="795">
        <f>+J1141*G1166+E1166</f>
        <v>330546.22320654918</v>
      </c>
      <c r="J1166" s="792">
        <f t="shared" si="108"/>
        <v>0</v>
      </c>
      <c r="K1166" s="792"/>
      <c r="L1166" s="812"/>
      <c r="M1166" s="792">
        <f t="shared" si="102"/>
        <v>0</v>
      </c>
      <c r="N1166" s="812"/>
      <c r="O1166" s="792">
        <f t="shared" si="103"/>
        <v>0</v>
      </c>
      <c r="P1166" s="792">
        <f t="shared" si="104"/>
        <v>0</v>
      </c>
    </row>
    <row r="1167" spans="3:16">
      <c r="C1167" s="788">
        <f>IF(D1139="","-",+C1166+1)</f>
        <v>2036</v>
      </c>
      <c r="D1167" s="736">
        <f t="shared" si="105"/>
        <v>1485695.8875000016</v>
      </c>
      <c r="E1167" s="789">
        <f t="shared" si="107"/>
        <v>108050.61</v>
      </c>
      <c r="F1167" s="789">
        <f t="shared" si="101"/>
        <v>1377645.2775000015</v>
      </c>
      <c r="G1167" s="736">
        <f t="shared" si="106"/>
        <v>1431670.5825000014</v>
      </c>
      <c r="H1167" s="794">
        <f>+J1140*G1167+E1167</f>
        <v>314932.49596398429</v>
      </c>
      <c r="I1167" s="795">
        <f>+J1141*G1167+E1167</f>
        <v>314932.49596398429</v>
      </c>
      <c r="J1167" s="792">
        <f t="shared" si="108"/>
        <v>0</v>
      </c>
      <c r="K1167" s="792"/>
      <c r="L1167" s="812"/>
      <c r="M1167" s="792">
        <f t="shared" si="102"/>
        <v>0</v>
      </c>
      <c r="N1167" s="812"/>
      <c r="O1167" s="792">
        <f t="shared" si="103"/>
        <v>0</v>
      </c>
      <c r="P1167" s="792">
        <f t="shared" si="104"/>
        <v>0</v>
      </c>
    </row>
    <row r="1168" spans="3:16">
      <c r="C1168" s="788">
        <f>IF(D1139="","-",+C1167+1)</f>
        <v>2037</v>
      </c>
      <c r="D1168" s="736">
        <f t="shared" si="105"/>
        <v>1377645.2775000015</v>
      </c>
      <c r="E1168" s="789">
        <f t="shared" si="107"/>
        <v>108050.61</v>
      </c>
      <c r="F1168" s="789">
        <f t="shared" si="101"/>
        <v>1269594.6675000014</v>
      </c>
      <c r="G1168" s="736">
        <f t="shared" si="106"/>
        <v>1323619.9725000015</v>
      </c>
      <c r="H1168" s="794">
        <f>+J1140*G1168+E1168</f>
        <v>299318.7687214195</v>
      </c>
      <c r="I1168" s="795">
        <f>+J1141*G1168+E1168</f>
        <v>299318.7687214195</v>
      </c>
      <c r="J1168" s="792">
        <f t="shared" si="108"/>
        <v>0</v>
      </c>
      <c r="K1168" s="792"/>
      <c r="L1168" s="812"/>
      <c r="M1168" s="792">
        <f t="shared" si="102"/>
        <v>0</v>
      </c>
      <c r="N1168" s="812"/>
      <c r="O1168" s="792">
        <f t="shared" si="103"/>
        <v>0</v>
      </c>
      <c r="P1168" s="792">
        <f t="shared" si="104"/>
        <v>0</v>
      </c>
    </row>
    <row r="1169" spans="3:16">
      <c r="C1169" s="788">
        <f>IF(D1139="","-",+C1168+1)</f>
        <v>2038</v>
      </c>
      <c r="D1169" s="736">
        <f t="shared" si="105"/>
        <v>1269594.6675000014</v>
      </c>
      <c r="E1169" s="789">
        <f t="shared" si="107"/>
        <v>108050.61</v>
      </c>
      <c r="F1169" s="789">
        <f t="shared" si="101"/>
        <v>1161544.0575000013</v>
      </c>
      <c r="G1169" s="736">
        <f t="shared" si="106"/>
        <v>1215569.3625000012</v>
      </c>
      <c r="H1169" s="794">
        <f>+J1140*G1169+E1169</f>
        <v>283705.0414788546</v>
      </c>
      <c r="I1169" s="795">
        <f>+J1141*G1169+E1169</f>
        <v>283705.0414788546</v>
      </c>
      <c r="J1169" s="792">
        <f t="shared" si="108"/>
        <v>0</v>
      </c>
      <c r="K1169" s="792"/>
      <c r="L1169" s="812"/>
      <c r="M1169" s="792">
        <f t="shared" si="102"/>
        <v>0</v>
      </c>
      <c r="N1169" s="812"/>
      <c r="O1169" s="792">
        <f t="shared" si="103"/>
        <v>0</v>
      </c>
      <c r="P1169" s="792">
        <f t="shared" si="104"/>
        <v>0</v>
      </c>
    </row>
    <row r="1170" spans="3:16">
      <c r="C1170" s="788">
        <f>IF(D1139="","-",+C1169+1)</f>
        <v>2039</v>
      </c>
      <c r="D1170" s="736">
        <f t="shared" si="105"/>
        <v>1161544.0575000013</v>
      </c>
      <c r="E1170" s="789">
        <f t="shared" si="107"/>
        <v>108050.61</v>
      </c>
      <c r="F1170" s="789">
        <f t="shared" si="101"/>
        <v>1053493.4475000012</v>
      </c>
      <c r="G1170" s="736">
        <f t="shared" si="106"/>
        <v>1107518.7525000013</v>
      </c>
      <c r="H1170" s="794">
        <f>+J1140*G1170+E1170</f>
        <v>268091.31423628976</v>
      </c>
      <c r="I1170" s="795">
        <f>+J1141*G1170+E1170</f>
        <v>268091.31423628976</v>
      </c>
      <c r="J1170" s="792">
        <f t="shared" si="108"/>
        <v>0</v>
      </c>
      <c r="K1170" s="792"/>
      <c r="L1170" s="812"/>
      <c r="M1170" s="792">
        <f t="shared" si="102"/>
        <v>0</v>
      </c>
      <c r="N1170" s="812"/>
      <c r="O1170" s="792">
        <f t="shared" si="103"/>
        <v>0</v>
      </c>
      <c r="P1170" s="792">
        <f t="shared" si="104"/>
        <v>0</v>
      </c>
    </row>
    <row r="1171" spans="3:16">
      <c r="C1171" s="788">
        <f>IF(D1139="","-",+C1170+1)</f>
        <v>2040</v>
      </c>
      <c r="D1171" s="736">
        <f t="shared" si="105"/>
        <v>1053493.4475000012</v>
      </c>
      <c r="E1171" s="789">
        <f t="shared" si="107"/>
        <v>108050.61</v>
      </c>
      <c r="F1171" s="789">
        <f t="shared" si="101"/>
        <v>945442.83750000119</v>
      </c>
      <c r="G1171" s="736">
        <f t="shared" si="106"/>
        <v>999468.14250000124</v>
      </c>
      <c r="H1171" s="794">
        <f>+J1140*G1171+E1171</f>
        <v>252477.58699372492</v>
      </c>
      <c r="I1171" s="795">
        <f>+J1141*G1171+E1171</f>
        <v>252477.58699372492</v>
      </c>
      <c r="J1171" s="792">
        <f t="shared" si="108"/>
        <v>0</v>
      </c>
      <c r="K1171" s="792"/>
      <c r="L1171" s="812"/>
      <c r="M1171" s="792">
        <f t="shared" si="102"/>
        <v>0</v>
      </c>
      <c r="N1171" s="812"/>
      <c r="O1171" s="792">
        <f t="shared" si="103"/>
        <v>0</v>
      </c>
      <c r="P1171" s="792">
        <f t="shared" si="104"/>
        <v>0</v>
      </c>
    </row>
    <row r="1172" spans="3:16">
      <c r="C1172" s="788">
        <f>IF(D1139="","-",+C1171+1)</f>
        <v>2041</v>
      </c>
      <c r="D1172" s="736">
        <f t="shared" si="105"/>
        <v>945442.83750000119</v>
      </c>
      <c r="E1172" s="789">
        <f t="shared" si="107"/>
        <v>108050.61</v>
      </c>
      <c r="F1172" s="789">
        <f t="shared" si="101"/>
        <v>837392.2275000012</v>
      </c>
      <c r="G1172" s="736">
        <f t="shared" si="106"/>
        <v>891417.53250000114</v>
      </c>
      <c r="H1172" s="794">
        <f>+J1140*G1172+E1172</f>
        <v>236863.85975116008</v>
      </c>
      <c r="I1172" s="795">
        <f>+J1141*G1172+E1172</f>
        <v>236863.85975116008</v>
      </c>
      <c r="J1172" s="792">
        <f t="shared" si="108"/>
        <v>0</v>
      </c>
      <c r="K1172" s="792"/>
      <c r="L1172" s="812"/>
      <c r="M1172" s="792">
        <f t="shared" si="102"/>
        <v>0</v>
      </c>
      <c r="N1172" s="812"/>
      <c r="O1172" s="792">
        <f t="shared" si="103"/>
        <v>0</v>
      </c>
      <c r="P1172" s="792">
        <f t="shared" si="104"/>
        <v>0</v>
      </c>
    </row>
    <row r="1173" spans="3:16">
      <c r="C1173" s="788">
        <f>IF(D1139="","-",+C1172+1)</f>
        <v>2042</v>
      </c>
      <c r="D1173" s="736">
        <f t="shared" si="105"/>
        <v>837392.2275000012</v>
      </c>
      <c r="E1173" s="789">
        <f t="shared" si="107"/>
        <v>108050.61</v>
      </c>
      <c r="F1173" s="789">
        <f t="shared" si="101"/>
        <v>729341.61750000122</v>
      </c>
      <c r="G1173" s="736">
        <f t="shared" si="106"/>
        <v>783366.92250000127</v>
      </c>
      <c r="H1173" s="794">
        <f>+J1140*G1173+E1173</f>
        <v>221250.13250859524</v>
      </c>
      <c r="I1173" s="795">
        <f>+J1141*G1173+E1173</f>
        <v>221250.13250859524</v>
      </c>
      <c r="J1173" s="792">
        <f t="shared" si="108"/>
        <v>0</v>
      </c>
      <c r="K1173" s="792"/>
      <c r="L1173" s="812"/>
      <c r="M1173" s="792">
        <f t="shared" si="102"/>
        <v>0</v>
      </c>
      <c r="N1173" s="812"/>
      <c r="O1173" s="792">
        <f t="shared" si="103"/>
        <v>0</v>
      </c>
      <c r="P1173" s="792">
        <f t="shared" si="104"/>
        <v>0</v>
      </c>
    </row>
    <row r="1174" spans="3:16">
      <c r="C1174" s="788">
        <f>IF(D1139="","-",+C1173+1)</f>
        <v>2043</v>
      </c>
      <c r="D1174" s="736">
        <f t="shared" si="105"/>
        <v>729341.61750000122</v>
      </c>
      <c r="E1174" s="789">
        <f t="shared" si="107"/>
        <v>108050.61</v>
      </c>
      <c r="F1174" s="789">
        <f t="shared" si="101"/>
        <v>621291.00750000123</v>
      </c>
      <c r="G1174" s="736">
        <f t="shared" si="106"/>
        <v>675316.31250000116</v>
      </c>
      <c r="H1174" s="794">
        <f>+J1140*G1174+E1174</f>
        <v>205636.4052660304</v>
      </c>
      <c r="I1174" s="795">
        <f>+J1141*G1174+E1174</f>
        <v>205636.4052660304</v>
      </c>
      <c r="J1174" s="792">
        <f t="shared" si="108"/>
        <v>0</v>
      </c>
      <c r="K1174" s="792"/>
      <c r="L1174" s="812"/>
      <c r="M1174" s="792">
        <f t="shared" si="102"/>
        <v>0</v>
      </c>
      <c r="N1174" s="812"/>
      <c r="O1174" s="792">
        <f t="shared" si="103"/>
        <v>0</v>
      </c>
      <c r="P1174" s="792">
        <f t="shared" si="104"/>
        <v>0</v>
      </c>
    </row>
    <row r="1175" spans="3:16">
      <c r="C1175" s="788">
        <f>IF(D1139="","-",+C1174+1)</f>
        <v>2044</v>
      </c>
      <c r="D1175" s="736">
        <f t="shared" si="105"/>
        <v>621291.00750000123</v>
      </c>
      <c r="E1175" s="789">
        <f t="shared" si="107"/>
        <v>108050.61</v>
      </c>
      <c r="F1175" s="789">
        <f t="shared" si="101"/>
        <v>513240.39750000124</v>
      </c>
      <c r="G1175" s="736">
        <f t="shared" si="106"/>
        <v>567265.70250000129</v>
      </c>
      <c r="H1175" s="794">
        <f>+J1140*G1175+E1175</f>
        <v>190022.67802346559</v>
      </c>
      <c r="I1175" s="795">
        <f>+J1141*G1175+E1175</f>
        <v>190022.67802346559</v>
      </c>
      <c r="J1175" s="792">
        <f t="shared" si="108"/>
        <v>0</v>
      </c>
      <c r="K1175" s="792"/>
      <c r="L1175" s="812"/>
      <c r="M1175" s="792">
        <f t="shared" si="102"/>
        <v>0</v>
      </c>
      <c r="N1175" s="812"/>
      <c r="O1175" s="792">
        <f t="shared" si="103"/>
        <v>0</v>
      </c>
      <c r="P1175" s="792">
        <f t="shared" si="104"/>
        <v>0</v>
      </c>
    </row>
    <row r="1176" spans="3:16">
      <c r="C1176" s="788">
        <f>IF(D1139="","-",+C1175+1)</f>
        <v>2045</v>
      </c>
      <c r="D1176" s="736">
        <f t="shared" si="105"/>
        <v>513240.39750000124</v>
      </c>
      <c r="E1176" s="789">
        <f t="shared" si="107"/>
        <v>108050.61</v>
      </c>
      <c r="F1176" s="789">
        <f t="shared" si="101"/>
        <v>405189.78750000126</v>
      </c>
      <c r="G1176" s="736">
        <f t="shared" si="106"/>
        <v>459215.09250000125</v>
      </c>
      <c r="H1176" s="794">
        <f>+J1140*G1176+E1176</f>
        <v>174408.95078090075</v>
      </c>
      <c r="I1176" s="795">
        <f>+J1141*G1176+E1176</f>
        <v>174408.95078090075</v>
      </c>
      <c r="J1176" s="792">
        <f t="shared" si="108"/>
        <v>0</v>
      </c>
      <c r="K1176" s="792"/>
      <c r="L1176" s="812"/>
      <c r="M1176" s="792">
        <f t="shared" si="102"/>
        <v>0</v>
      </c>
      <c r="N1176" s="812"/>
      <c r="O1176" s="792">
        <f t="shared" si="103"/>
        <v>0</v>
      </c>
      <c r="P1176" s="792">
        <f t="shared" si="104"/>
        <v>0</v>
      </c>
    </row>
    <row r="1177" spans="3:16">
      <c r="C1177" s="788">
        <f>IF(D1139="","-",+C1176+1)</f>
        <v>2046</v>
      </c>
      <c r="D1177" s="736">
        <f t="shared" si="105"/>
        <v>405189.78750000126</v>
      </c>
      <c r="E1177" s="789">
        <f t="shared" si="107"/>
        <v>108050.61</v>
      </c>
      <c r="F1177" s="789">
        <f t="shared" si="101"/>
        <v>297139.17750000127</v>
      </c>
      <c r="G1177" s="736">
        <f t="shared" si="106"/>
        <v>351164.48250000126</v>
      </c>
      <c r="H1177" s="794">
        <f>+J1140*G1177+E1177</f>
        <v>158795.22353833591</v>
      </c>
      <c r="I1177" s="795">
        <f>+J1141*G1177+E1177</f>
        <v>158795.22353833591</v>
      </c>
      <c r="J1177" s="792">
        <f t="shared" si="108"/>
        <v>0</v>
      </c>
      <c r="K1177" s="792"/>
      <c r="L1177" s="812"/>
      <c r="M1177" s="792">
        <f t="shared" si="102"/>
        <v>0</v>
      </c>
      <c r="N1177" s="812"/>
      <c r="O1177" s="792">
        <f t="shared" si="103"/>
        <v>0</v>
      </c>
      <c r="P1177" s="792">
        <f t="shared" si="104"/>
        <v>0</v>
      </c>
    </row>
    <row r="1178" spans="3:16">
      <c r="C1178" s="788">
        <f>IF(D1139="","-",+C1177+1)</f>
        <v>2047</v>
      </c>
      <c r="D1178" s="736">
        <f t="shared" si="105"/>
        <v>297139.17750000127</v>
      </c>
      <c r="E1178" s="789">
        <f t="shared" si="107"/>
        <v>108050.61</v>
      </c>
      <c r="F1178" s="789">
        <f t="shared" si="101"/>
        <v>189088.56750000129</v>
      </c>
      <c r="G1178" s="736">
        <f t="shared" si="106"/>
        <v>243113.87250000128</v>
      </c>
      <c r="H1178" s="794">
        <f>+J1140*G1178+E1178</f>
        <v>143181.49629577107</v>
      </c>
      <c r="I1178" s="795">
        <f>+J1141*G1178+E1178</f>
        <v>143181.49629577107</v>
      </c>
      <c r="J1178" s="792">
        <f t="shared" si="108"/>
        <v>0</v>
      </c>
      <c r="K1178" s="792"/>
      <c r="L1178" s="812"/>
      <c r="M1178" s="792">
        <f t="shared" si="102"/>
        <v>0</v>
      </c>
      <c r="N1178" s="812"/>
      <c r="O1178" s="792">
        <f t="shared" si="103"/>
        <v>0</v>
      </c>
      <c r="P1178" s="792">
        <f t="shared" si="104"/>
        <v>0</v>
      </c>
    </row>
    <row r="1179" spans="3:16">
      <c r="C1179" s="788">
        <f>IF(D1139="","-",+C1178+1)</f>
        <v>2048</v>
      </c>
      <c r="D1179" s="736">
        <f t="shared" si="105"/>
        <v>189088.56750000129</v>
      </c>
      <c r="E1179" s="789">
        <f t="shared" si="107"/>
        <v>108050.61</v>
      </c>
      <c r="F1179" s="789">
        <f t="shared" si="101"/>
        <v>81037.957500001285</v>
      </c>
      <c r="G1179" s="736">
        <f t="shared" si="106"/>
        <v>135063.26250000129</v>
      </c>
      <c r="H1179" s="794">
        <f>+J1140*G1179+E1179</f>
        <v>127567.76905320623</v>
      </c>
      <c r="I1179" s="795">
        <f>+J1141*G1179+E1179</f>
        <v>127567.76905320623</v>
      </c>
      <c r="J1179" s="792">
        <f t="shared" si="108"/>
        <v>0</v>
      </c>
      <c r="K1179" s="792"/>
      <c r="L1179" s="812"/>
      <c r="M1179" s="792">
        <f t="shared" si="102"/>
        <v>0</v>
      </c>
      <c r="N1179" s="812"/>
      <c r="O1179" s="792">
        <f t="shared" si="103"/>
        <v>0</v>
      </c>
      <c r="P1179" s="792">
        <f t="shared" si="104"/>
        <v>0</v>
      </c>
    </row>
    <row r="1180" spans="3:16">
      <c r="C1180" s="788">
        <f>IF(D1139="","-",+C1179+1)</f>
        <v>2049</v>
      </c>
      <c r="D1180" s="736">
        <f t="shared" si="105"/>
        <v>81037.957500001285</v>
      </c>
      <c r="E1180" s="789">
        <f t="shared" si="107"/>
        <v>81037.957500001285</v>
      </c>
      <c r="F1180" s="789">
        <f t="shared" si="101"/>
        <v>0</v>
      </c>
      <c r="G1180" s="736">
        <f t="shared" si="106"/>
        <v>40518.978750000642</v>
      </c>
      <c r="H1180" s="794">
        <f>+J1140*G1180+E1180</f>
        <v>86893.105215963194</v>
      </c>
      <c r="I1180" s="795">
        <f>+J1141*G1180+E1180</f>
        <v>86893.105215963194</v>
      </c>
      <c r="J1180" s="792">
        <f t="shared" si="108"/>
        <v>0</v>
      </c>
      <c r="K1180" s="792"/>
      <c r="L1180" s="812"/>
      <c r="M1180" s="792">
        <f t="shared" si="102"/>
        <v>0</v>
      </c>
      <c r="N1180" s="812"/>
      <c r="O1180" s="792">
        <f t="shared" si="103"/>
        <v>0</v>
      </c>
      <c r="P1180" s="792">
        <f t="shared" si="104"/>
        <v>0</v>
      </c>
    </row>
    <row r="1181" spans="3:16">
      <c r="C1181" s="788">
        <f>IF(D1139="","-",+C1180+1)</f>
        <v>2050</v>
      </c>
      <c r="D1181" s="736">
        <f t="shared" si="105"/>
        <v>0</v>
      </c>
      <c r="E1181" s="789">
        <f t="shared" si="107"/>
        <v>0</v>
      </c>
      <c r="F1181" s="789">
        <f t="shared" si="101"/>
        <v>0</v>
      </c>
      <c r="G1181" s="736">
        <f t="shared" si="106"/>
        <v>0</v>
      </c>
      <c r="H1181" s="794">
        <f>+J1140*G1181+E1181</f>
        <v>0</v>
      </c>
      <c r="I1181" s="795">
        <f>+J1141*G1181+E1181</f>
        <v>0</v>
      </c>
      <c r="J1181" s="792">
        <f t="shared" si="108"/>
        <v>0</v>
      </c>
      <c r="K1181" s="792"/>
      <c r="L1181" s="812"/>
      <c r="M1181" s="792">
        <f t="shared" si="102"/>
        <v>0</v>
      </c>
      <c r="N1181" s="812"/>
      <c r="O1181" s="792">
        <f t="shared" si="103"/>
        <v>0</v>
      </c>
      <c r="P1181" s="792">
        <f t="shared" si="104"/>
        <v>0</v>
      </c>
    </row>
    <row r="1182" spans="3:16">
      <c r="C1182" s="788">
        <f>IF(D1139="","-",+C1181+1)</f>
        <v>2051</v>
      </c>
      <c r="D1182" s="736">
        <f t="shared" si="105"/>
        <v>0</v>
      </c>
      <c r="E1182" s="789">
        <f t="shared" si="107"/>
        <v>0</v>
      </c>
      <c r="F1182" s="789">
        <f t="shared" si="101"/>
        <v>0</v>
      </c>
      <c r="G1182" s="736">
        <f t="shared" si="106"/>
        <v>0</v>
      </c>
      <c r="H1182" s="794">
        <f>+J1140*G1182+E1182</f>
        <v>0</v>
      </c>
      <c r="I1182" s="795">
        <f>+J1141*G1182+E1182</f>
        <v>0</v>
      </c>
      <c r="J1182" s="792">
        <f t="shared" si="108"/>
        <v>0</v>
      </c>
      <c r="K1182" s="792"/>
      <c r="L1182" s="812"/>
      <c r="M1182" s="792">
        <f t="shared" si="102"/>
        <v>0</v>
      </c>
      <c r="N1182" s="812"/>
      <c r="O1182" s="792">
        <f t="shared" si="103"/>
        <v>0</v>
      </c>
      <c r="P1182" s="792">
        <f t="shared" si="104"/>
        <v>0</v>
      </c>
    </row>
    <row r="1183" spans="3:16">
      <c r="C1183" s="788">
        <f>IF(D1139="","-",+C1182+1)</f>
        <v>2052</v>
      </c>
      <c r="D1183" s="736">
        <f t="shared" si="105"/>
        <v>0</v>
      </c>
      <c r="E1183" s="789">
        <f t="shared" si="107"/>
        <v>0</v>
      </c>
      <c r="F1183" s="789">
        <f t="shared" si="101"/>
        <v>0</v>
      </c>
      <c r="G1183" s="736">
        <f t="shared" si="106"/>
        <v>0</v>
      </c>
      <c r="H1183" s="794">
        <f>+J1140*G1183+E1183</f>
        <v>0</v>
      </c>
      <c r="I1183" s="795">
        <f>+J1141*G1183+E1183</f>
        <v>0</v>
      </c>
      <c r="J1183" s="792">
        <f t="shared" si="108"/>
        <v>0</v>
      </c>
      <c r="K1183" s="792"/>
      <c r="L1183" s="812"/>
      <c r="M1183" s="792">
        <f t="shared" si="102"/>
        <v>0</v>
      </c>
      <c r="N1183" s="812"/>
      <c r="O1183" s="792">
        <f t="shared" si="103"/>
        <v>0</v>
      </c>
      <c r="P1183" s="792">
        <f t="shared" si="104"/>
        <v>0</v>
      </c>
    </row>
    <row r="1184" spans="3:16">
      <c r="C1184" s="788">
        <f>IF(D1139="","-",+C1183+1)</f>
        <v>2053</v>
      </c>
      <c r="D1184" s="736">
        <f t="shared" si="105"/>
        <v>0</v>
      </c>
      <c r="E1184" s="789">
        <f t="shared" si="107"/>
        <v>0</v>
      </c>
      <c r="F1184" s="789">
        <f t="shared" si="101"/>
        <v>0</v>
      </c>
      <c r="G1184" s="736">
        <f t="shared" si="106"/>
        <v>0</v>
      </c>
      <c r="H1184" s="794">
        <f>+J1140*G1184+E1184</f>
        <v>0</v>
      </c>
      <c r="I1184" s="795">
        <f>+J1141*G1184+E1184</f>
        <v>0</v>
      </c>
      <c r="J1184" s="792">
        <f t="shared" si="108"/>
        <v>0</v>
      </c>
      <c r="K1184" s="792"/>
      <c r="L1184" s="812"/>
      <c r="M1184" s="792">
        <f t="shared" si="102"/>
        <v>0</v>
      </c>
      <c r="N1184" s="812"/>
      <c r="O1184" s="792">
        <f t="shared" si="103"/>
        <v>0</v>
      </c>
      <c r="P1184" s="792">
        <f t="shared" si="104"/>
        <v>0</v>
      </c>
    </row>
    <row r="1185" spans="3:16">
      <c r="C1185" s="788">
        <f>IF(D1139="","-",+C1184+1)</f>
        <v>2054</v>
      </c>
      <c r="D1185" s="736">
        <f t="shared" si="105"/>
        <v>0</v>
      </c>
      <c r="E1185" s="789">
        <f t="shared" si="107"/>
        <v>0</v>
      </c>
      <c r="F1185" s="789">
        <f t="shared" si="101"/>
        <v>0</v>
      </c>
      <c r="G1185" s="736">
        <f t="shared" si="106"/>
        <v>0</v>
      </c>
      <c r="H1185" s="794">
        <f>+J1140*G1185+E1185</f>
        <v>0</v>
      </c>
      <c r="I1185" s="795">
        <f>+J1141*G1185+E1185</f>
        <v>0</v>
      </c>
      <c r="J1185" s="792">
        <f t="shared" si="108"/>
        <v>0</v>
      </c>
      <c r="K1185" s="792"/>
      <c r="L1185" s="812"/>
      <c r="M1185" s="792">
        <f t="shared" si="102"/>
        <v>0</v>
      </c>
      <c r="N1185" s="812"/>
      <c r="O1185" s="792">
        <f t="shared" si="103"/>
        <v>0</v>
      </c>
      <c r="P1185" s="792">
        <f t="shared" si="104"/>
        <v>0</v>
      </c>
    </row>
    <row r="1186" spans="3:16">
      <c r="C1186" s="788">
        <f>IF(D1139="","-",+C1185+1)</f>
        <v>2055</v>
      </c>
      <c r="D1186" s="736">
        <f t="shared" si="105"/>
        <v>0</v>
      </c>
      <c r="E1186" s="789">
        <f t="shared" si="107"/>
        <v>0</v>
      </c>
      <c r="F1186" s="789">
        <f t="shared" si="101"/>
        <v>0</v>
      </c>
      <c r="G1186" s="736">
        <f t="shared" si="106"/>
        <v>0</v>
      </c>
      <c r="H1186" s="794">
        <f>+J1140*G1186+E1186</f>
        <v>0</v>
      </c>
      <c r="I1186" s="795">
        <f>+J1141*G1186+E1186</f>
        <v>0</v>
      </c>
      <c r="J1186" s="792">
        <f t="shared" si="108"/>
        <v>0</v>
      </c>
      <c r="K1186" s="792"/>
      <c r="L1186" s="812"/>
      <c r="M1186" s="792">
        <f t="shared" si="102"/>
        <v>0</v>
      </c>
      <c r="N1186" s="812"/>
      <c r="O1186" s="792">
        <f t="shared" si="103"/>
        <v>0</v>
      </c>
      <c r="P1186" s="792">
        <f t="shared" si="104"/>
        <v>0</v>
      </c>
    </row>
    <row r="1187" spans="3:16">
      <c r="C1187" s="788">
        <f>IF(D1139="","-",+C1186+1)</f>
        <v>2056</v>
      </c>
      <c r="D1187" s="736">
        <f t="shared" si="105"/>
        <v>0</v>
      </c>
      <c r="E1187" s="789">
        <f t="shared" si="107"/>
        <v>0</v>
      </c>
      <c r="F1187" s="789">
        <f t="shared" si="101"/>
        <v>0</v>
      </c>
      <c r="G1187" s="736">
        <f t="shared" si="106"/>
        <v>0</v>
      </c>
      <c r="H1187" s="794">
        <f>+J1140*G1187+E1187</f>
        <v>0</v>
      </c>
      <c r="I1187" s="795">
        <f>+J1141*G1187+E1187</f>
        <v>0</v>
      </c>
      <c r="J1187" s="792">
        <f t="shared" si="108"/>
        <v>0</v>
      </c>
      <c r="K1187" s="792"/>
      <c r="L1187" s="812"/>
      <c r="M1187" s="792">
        <f t="shared" si="102"/>
        <v>0</v>
      </c>
      <c r="N1187" s="812"/>
      <c r="O1187" s="792">
        <f t="shared" si="103"/>
        <v>0</v>
      </c>
      <c r="P1187" s="792">
        <f t="shared" si="104"/>
        <v>0</v>
      </c>
    </row>
    <row r="1188" spans="3:16">
      <c r="C1188" s="788">
        <f>IF(D1139="","-",+C1187+1)</f>
        <v>2057</v>
      </c>
      <c r="D1188" s="736">
        <f t="shared" si="105"/>
        <v>0</v>
      </c>
      <c r="E1188" s="789">
        <f t="shared" si="107"/>
        <v>0</v>
      </c>
      <c r="F1188" s="789">
        <f t="shared" si="101"/>
        <v>0</v>
      </c>
      <c r="G1188" s="736">
        <f t="shared" si="106"/>
        <v>0</v>
      </c>
      <c r="H1188" s="794">
        <f>+J1140*G1188+E1188</f>
        <v>0</v>
      </c>
      <c r="I1188" s="795">
        <f>+J1141*G1188+E1188</f>
        <v>0</v>
      </c>
      <c r="J1188" s="792">
        <f t="shared" si="108"/>
        <v>0</v>
      </c>
      <c r="K1188" s="792"/>
      <c r="L1188" s="812"/>
      <c r="M1188" s="792">
        <f t="shared" si="102"/>
        <v>0</v>
      </c>
      <c r="N1188" s="812"/>
      <c r="O1188" s="792">
        <f t="shared" si="103"/>
        <v>0</v>
      </c>
      <c r="P1188" s="792">
        <f t="shared" si="104"/>
        <v>0</v>
      </c>
    </row>
    <row r="1189" spans="3:16">
      <c r="C1189" s="788">
        <f>IF(D1139="","-",+C1188+1)</f>
        <v>2058</v>
      </c>
      <c r="D1189" s="736">
        <f t="shared" si="105"/>
        <v>0</v>
      </c>
      <c r="E1189" s="789">
        <f t="shared" si="107"/>
        <v>0</v>
      </c>
      <c r="F1189" s="789">
        <f t="shared" si="101"/>
        <v>0</v>
      </c>
      <c r="G1189" s="736">
        <f t="shared" si="106"/>
        <v>0</v>
      </c>
      <c r="H1189" s="794">
        <f>+J1140*G1189+E1189</f>
        <v>0</v>
      </c>
      <c r="I1189" s="795">
        <f>+J1141*G1189+E1189</f>
        <v>0</v>
      </c>
      <c r="J1189" s="792">
        <f t="shared" si="108"/>
        <v>0</v>
      </c>
      <c r="K1189" s="792"/>
      <c r="L1189" s="812"/>
      <c r="M1189" s="792">
        <f t="shared" si="102"/>
        <v>0</v>
      </c>
      <c r="N1189" s="812"/>
      <c r="O1189" s="792">
        <f t="shared" si="103"/>
        <v>0</v>
      </c>
      <c r="P1189" s="792">
        <f t="shared" si="104"/>
        <v>0</v>
      </c>
    </row>
    <row r="1190" spans="3:16">
      <c r="C1190" s="788">
        <f>IF(D1139="","-",+C1189+1)</f>
        <v>2059</v>
      </c>
      <c r="D1190" s="736">
        <f t="shared" si="105"/>
        <v>0</v>
      </c>
      <c r="E1190" s="789">
        <f t="shared" si="107"/>
        <v>0</v>
      </c>
      <c r="F1190" s="789">
        <f t="shared" si="101"/>
        <v>0</v>
      </c>
      <c r="G1190" s="736">
        <f t="shared" si="106"/>
        <v>0</v>
      </c>
      <c r="H1190" s="794">
        <f>+J1140*G1190+E1190</f>
        <v>0</v>
      </c>
      <c r="I1190" s="795">
        <f>+J1141*G1190+E1190</f>
        <v>0</v>
      </c>
      <c r="J1190" s="792">
        <f t="shared" si="108"/>
        <v>0</v>
      </c>
      <c r="K1190" s="792"/>
      <c r="L1190" s="812"/>
      <c r="M1190" s="792">
        <f t="shared" si="102"/>
        <v>0</v>
      </c>
      <c r="N1190" s="812"/>
      <c r="O1190" s="792">
        <f t="shared" si="103"/>
        <v>0</v>
      </c>
      <c r="P1190" s="792">
        <f t="shared" si="104"/>
        <v>0</v>
      </c>
    </row>
    <row r="1191" spans="3:16">
      <c r="C1191" s="788">
        <f>IF(D1139="","-",+C1190+1)</f>
        <v>2060</v>
      </c>
      <c r="D1191" s="736">
        <f t="shared" si="105"/>
        <v>0</v>
      </c>
      <c r="E1191" s="789">
        <f t="shared" si="107"/>
        <v>0</v>
      </c>
      <c r="F1191" s="789">
        <f t="shared" si="101"/>
        <v>0</v>
      </c>
      <c r="G1191" s="736">
        <f t="shared" si="106"/>
        <v>0</v>
      </c>
      <c r="H1191" s="794">
        <f>+J1140*G1191+E1191</f>
        <v>0</v>
      </c>
      <c r="I1191" s="795">
        <f>+J1141*G1191+E1191</f>
        <v>0</v>
      </c>
      <c r="J1191" s="792">
        <f t="shared" si="108"/>
        <v>0</v>
      </c>
      <c r="K1191" s="792"/>
      <c r="L1191" s="812"/>
      <c r="M1191" s="792">
        <f t="shared" si="102"/>
        <v>0</v>
      </c>
      <c r="N1191" s="812"/>
      <c r="O1191" s="792">
        <f t="shared" si="103"/>
        <v>0</v>
      </c>
      <c r="P1191" s="792">
        <f t="shared" si="104"/>
        <v>0</v>
      </c>
    </row>
    <row r="1192" spans="3:16">
      <c r="C1192" s="788">
        <f>IF(D1139="","-",+C1191+1)</f>
        <v>2061</v>
      </c>
      <c r="D1192" s="736">
        <f t="shared" si="105"/>
        <v>0</v>
      </c>
      <c r="E1192" s="789">
        <f t="shared" si="107"/>
        <v>0</v>
      </c>
      <c r="F1192" s="789">
        <f t="shared" si="101"/>
        <v>0</v>
      </c>
      <c r="G1192" s="736">
        <f t="shared" si="106"/>
        <v>0</v>
      </c>
      <c r="H1192" s="794">
        <f>+J1140*G1192+E1192</f>
        <v>0</v>
      </c>
      <c r="I1192" s="795">
        <f>+J1141*G1192+E1192</f>
        <v>0</v>
      </c>
      <c r="J1192" s="792">
        <f t="shared" si="108"/>
        <v>0</v>
      </c>
      <c r="K1192" s="792"/>
      <c r="L1192" s="812"/>
      <c r="M1192" s="792">
        <f t="shared" si="102"/>
        <v>0</v>
      </c>
      <c r="N1192" s="812"/>
      <c r="O1192" s="792">
        <f t="shared" si="103"/>
        <v>0</v>
      </c>
      <c r="P1192" s="792">
        <f t="shared" si="104"/>
        <v>0</v>
      </c>
    </row>
    <row r="1193" spans="3:16">
      <c r="C1193" s="788">
        <f>IF(D1139="","-",+C1192+1)</f>
        <v>2062</v>
      </c>
      <c r="D1193" s="736">
        <f t="shared" si="105"/>
        <v>0</v>
      </c>
      <c r="E1193" s="789">
        <f t="shared" si="107"/>
        <v>0</v>
      </c>
      <c r="F1193" s="789">
        <f t="shared" si="101"/>
        <v>0</v>
      </c>
      <c r="G1193" s="736">
        <f t="shared" si="106"/>
        <v>0</v>
      </c>
      <c r="H1193" s="794">
        <f>+J1140*G1193+E1193</f>
        <v>0</v>
      </c>
      <c r="I1193" s="795">
        <f>+J1141*G1193+E1193</f>
        <v>0</v>
      </c>
      <c r="J1193" s="792">
        <f t="shared" si="108"/>
        <v>0</v>
      </c>
      <c r="K1193" s="792"/>
      <c r="L1193" s="812"/>
      <c r="M1193" s="792">
        <f t="shared" si="102"/>
        <v>0</v>
      </c>
      <c r="N1193" s="812"/>
      <c r="O1193" s="792">
        <f t="shared" si="103"/>
        <v>0</v>
      </c>
      <c r="P1193" s="792">
        <f t="shared" si="104"/>
        <v>0</v>
      </c>
    </row>
    <row r="1194" spans="3:16">
      <c r="C1194" s="788">
        <f>IF(D1139="","-",+C1193+1)</f>
        <v>2063</v>
      </c>
      <c r="D1194" s="736">
        <f t="shared" si="105"/>
        <v>0</v>
      </c>
      <c r="E1194" s="789">
        <f t="shared" si="107"/>
        <v>0</v>
      </c>
      <c r="F1194" s="789">
        <f t="shared" si="101"/>
        <v>0</v>
      </c>
      <c r="G1194" s="736">
        <f t="shared" si="106"/>
        <v>0</v>
      </c>
      <c r="H1194" s="794">
        <f>+J1140*G1194+E1194</f>
        <v>0</v>
      </c>
      <c r="I1194" s="795">
        <f>+J1141*G1194+E1194</f>
        <v>0</v>
      </c>
      <c r="J1194" s="792">
        <f t="shared" si="108"/>
        <v>0</v>
      </c>
      <c r="K1194" s="792"/>
      <c r="L1194" s="812"/>
      <c r="M1194" s="792">
        <f t="shared" si="102"/>
        <v>0</v>
      </c>
      <c r="N1194" s="812"/>
      <c r="O1194" s="792">
        <f t="shared" si="103"/>
        <v>0</v>
      </c>
      <c r="P1194" s="792">
        <f t="shared" si="104"/>
        <v>0</v>
      </c>
    </row>
    <row r="1195" spans="3:16">
      <c r="C1195" s="788">
        <f>IF(D1139="","-",+C1194+1)</f>
        <v>2064</v>
      </c>
      <c r="D1195" s="736">
        <f t="shared" si="105"/>
        <v>0</v>
      </c>
      <c r="E1195" s="789">
        <f t="shared" si="107"/>
        <v>0</v>
      </c>
      <c r="F1195" s="789">
        <f t="shared" si="101"/>
        <v>0</v>
      </c>
      <c r="G1195" s="736">
        <f t="shared" si="106"/>
        <v>0</v>
      </c>
      <c r="H1195" s="794">
        <f>+J1140*G1195+E1195</f>
        <v>0</v>
      </c>
      <c r="I1195" s="795">
        <f>+J1141*G1195+E1195</f>
        <v>0</v>
      </c>
      <c r="J1195" s="792">
        <f t="shared" si="108"/>
        <v>0</v>
      </c>
      <c r="K1195" s="792"/>
      <c r="L1195" s="812"/>
      <c r="M1195" s="792">
        <f t="shared" si="102"/>
        <v>0</v>
      </c>
      <c r="N1195" s="812"/>
      <c r="O1195" s="792">
        <f t="shared" si="103"/>
        <v>0</v>
      </c>
      <c r="P1195" s="792">
        <f t="shared" si="104"/>
        <v>0</v>
      </c>
    </row>
    <row r="1196" spans="3:16">
      <c r="C1196" s="788">
        <f>IF(D1139="","-",+C1195+1)</f>
        <v>2065</v>
      </c>
      <c r="D1196" s="736">
        <f t="shared" si="105"/>
        <v>0</v>
      </c>
      <c r="E1196" s="789">
        <f t="shared" si="107"/>
        <v>0</v>
      </c>
      <c r="F1196" s="789">
        <f t="shared" si="101"/>
        <v>0</v>
      </c>
      <c r="G1196" s="736">
        <f t="shared" si="106"/>
        <v>0</v>
      </c>
      <c r="H1196" s="794">
        <f>+J1140*G1196+E1196</f>
        <v>0</v>
      </c>
      <c r="I1196" s="795">
        <f>+J1141*G1196+E1196</f>
        <v>0</v>
      </c>
      <c r="J1196" s="792">
        <f t="shared" si="108"/>
        <v>0</v>
      </c>
      <c r="K1196" s="792"/>
      <c r="L1196" s="812"/>
      <c r="M1196" s="792">
        <f t="shared" si="102"/>
        <v>0</v>
      </c>
      <c r="N1196" s="812"/>
      <c r="O1196" s="792">
        <f t="shared" si="103"/>
        <v>0</v>
      </c>
      <c r="P1196" s="792">
        <f t="shared" si="104"/>
        <v>0</v>
      </c>
    </row>
    <row r="1197" spans="3:16">
      <c r="C1197" s="788">
        <f>IF(D1139="","-",+C1196+1)</f>
        <v>2066</v>
      </c>
      <c r="D1197" s="736">
        <f t="shared" si="105"/>
        <v>0</v>
      </c>
      <c r="E1197" s="789">
        <f t="shared" si="107"/>
        <v>0</v>
      </c>
      <c r="F1197" s="789">
        <f t="shared" si="101"/>
        <v>0</v>
      </c>
      <c r="G1197" s="736">
        <f t="shared" si="106"/>
        <v>0</v>
      </c>
      <c r="H1197" s="794">
        <f>+J1140*G1197+E1197</f>
        <v>0</v>
      </c>
      <c r="I1197" s="795">
        <f>+J1141*G1197+E1197</f>
        <v>0</v>
      </c>
      <c r="J1197" s="792">
        <f t="shared" si="108"/>
        <v>0</v>
      </c>
      <c r="K1197" s="792"/>
      <c r="L1197" s="812"/>
      <c r="M1197" s="792">
        <f t="shared" si="102"/>
        <v>0</v>
      </c>
      <c r="N1197" s="812"/>
      <c r="O1197" s="792">
        <f t="shared" si="103"/>
        <v>0</v>
      </c>
      <c r="P1197" s="792">
        <f t="shared" si="104"/>
        <v>0</v>
      </c>
    </row>
    <row r="1198" spans="3:16">
      <c r="C1198" s="788">
        <f>IF(D1139="","-",+C1197+1)</f>
        <v>2067</v>
      </c>
      <c r="D1198" s="736">
        <f t="shared" si="105"/>
        <v>0</v>
      </c>
      <c r="E1198" s="789">
        <f t="shared" si="107"/>
        <v>0</v>
      </c>
      <c r="F1198" s="789">
        <f t="shared" si="101"/>
        <v>0</v>
      </c>
      <c r="G1198" s="736">
        <f t="shared" si="106"/>
        <v>0</v>
      </c>
      <c r="H1198" s="794">
        <f>+J1140*G1198+E1198</f>
        <v>0</v>
      </c>
      <c r="I1198" s="795">
        <f>+J1141*G1198+E1198</f>
        <v>0</v>
      </c>
      <c r="J1198" s="792">
        <f t="shared" si="108"/>
        <v>0</v>
      </c>
      <c r="K1198" s="792"/>
      <c r="L1198" s="812"/>
      <c r="M1198" s="792">
        <f t="shared" si="102"/>
        <v>0</v>
      </c>
      <c r="N1198" s="812"/>
      <c r="O1198" s="792">
        <f t="shared" si="103"/>
        <v>0</v>
      </c>
      <c r="P1198" s="792">
        <f t="shared" si="104"/>
        <v>0</v>
      </c>
    </row>
    <row r="1199" spans="3:16">
      <c r="C1199" s="788">
        <f>IF(D1139="","-",+C1198+1)</f>
        <v>2068</v>
      </c>
      <c r="D1199" s="736">
        <f t="shared" si="105"/>
        <v>0</v>
      </c>
      <c r="E1199" s="789">
        <f t="shared" si="107"/>
        <v>0</v>
      </c>
      <c r="F1199" s="789">
        <f t="shared" si="101"/>
        <v>0</v>
      </c>
      <c r="G1199" s="736">
        <f t="shared" si="106"/>
        <v>0</v>
      </c>
      <c r="H1199" s="794">
        <f>+J1140*G1199+E1199</f>
        <v>0</v>
      </c>
      <c r="I1199" s="795">
        <f>+J1141*G1199+E1199</f>
        <v>0</v>
      </c>
      <c r="J1199" s="792">
        <f t="shared" si="108"/>
        <v>0</v>
      </c>
      <c r="K1199" s="792"/>
      <c r="L1199" s="812"/>
      <c r="M1199" s="792">
        <f t="shared" si="102"/>
        <v>0</v>
      </c>
      <c r="N1199" s="812"/>
      <c r="O1199" s="792">
        <f t="shared" si="103"/>
        <v>0</v>
      </c>
      <c r="P1199" s="792">
        <f t="shared" si="104"/>
        <v>0</v>
      </c>
    </row>
    <row r="1200" spans="3:16">
      <c r="C1200" s="788">
        <f>IF(D1139="","-",+C1199+1)</f>
        <v>2069</v>
      </c>
      <c r="D1200" s="736">
        <f t="shared" si="105"/>
        <v>0</v>
      </c>
      <c r="E1200" s="789">
        <f t="shared" si="107"/>
        <v>0</v>
      </c>
      <c r="F1200" s="789">
        <f t="shared" si="101"/>
        <v>0</v>
      </c>
      <c r="G1200" s="736">
        <f t="shared" si="106"/>
        <v>0</v>
      </c>
      <c r="H1200" s="794">
        <f>+J1140*G1200+E1200</f>
        <v>0</v>
      </c>
      <c r="I1200" s="795">
        <f>+J1141*G1200+E1200</f>
        <v>0</v>
      </c>
      <c r="J1200" s="792">
        <f t="shared" si="108"/>
        <v>0</v>
      </c>
      <c r="K1200" s="792"/>
      <c r="L1200" s="812"/>
      <c r="M1200" s="792">
        <f t="shared" si="102"/>
        <v>0</v>
      </c>
      <c r="N1200" s="812"/>
      <c r="O1200" s="792">
        <f t="shared" si="103"/>
        <v>0</v>
      </c>
      <c r="P1200" s="792">
        <f t="shared" si="104"/>
        <v>0</v>
      </c>
    </row>
    <row r="1201" spans="1:17">
      <c r="C1201" s="788">
        <f>IF(D1139="","-",+C1200+1)</f>
        <v>2070</v>
      </c>
      <c r="D1201" s="736">
        <f t="shared" si="105"/>
        <v>0</v>
      </c>
      <c r="E1201" s="789">
        <f t="shared" si="107"/>
        <v>0</v>
      </c>
      <c r="F1201" s="789">
        <f t="shared" si="101"/>
        <v>0</v>
      </c>
      <c r="G1201" s="736">
        <f t="shared" si="106"/>
        <v>0</v>
      </c>
      <c r="H1201" s="794">
        <f>+J1140*G1201+E1201</f>
        <v>0</v>
      </c>
      <c r="I1201" s="795">
        <f>+J1141*G1201+E1201</f>
        <v>0</v>
      </c>
      <c r="J1201" s="792">
        <f t="shared" si="108"/>
        <v>0</v>
      </c>
      <c r="K1201" s="792"/>
      <c r="L1201" s="812"/>
      <c r="M1201" s="792">
        <f t="shared" si="102"/>
        <v>0</v>
      </c>
      <c r="N1201" s="812"/>
      <c r="O1201" s="792">
        <f t="shared" si="103"/>
        <v>0</v>
      </c>
      <c r="P1201" s="792">
        <f t="shared" si="104"/>
        <v>0</v>
      </c>
    </row>
    <row r="1202" spans="1:17">
      <c r="C1202" s="788">
        <f>IF(D1139="","-",+C1201+1)</f>
        <v>2071</v>
      </c>
      <c r="D1202" s="736">
        <f t="shared" si="105"/>
        <v>0</v>
      </c>
      <c r="E1202" s="789">
        <f t="shared" si="107"/>
        <v>0</v>
      </c>
      <c r="F1202" s="789">
        <f t="shared" si="101"/>
        <v>0</v>
      </c>
      <c r="G1202" s="736">
        <f t="shared" si="106"/>
        <v>0</v>
      </c>
      <c r="H1202" s="794">
        <f>+J1140*G1202+E1202</f>
        <v>0</v>
      </c>
      <c r="I1202" s="795">
        <f>+J1141*G1202+E1202</f>
        <v>0</v>
      </c>
      <c r="J1202" s="792">
        <f t="shared" si="108"/>
        <v>0</v>
      </c>
      <c r="K1202" s="792"/>
      <c r="L1202" s="812"/>
      <c r="M1202" s="792">
        <f t="shared" si="102"/>
        <v>0</v>
      </c>
      <c r="N1202" s="812"/>
      <c r="O1202" s="792">
        <f t="shared" si="103"/>
        <v>0</v>
      </c>
      <c r="P1202" s="792">
        <f t="shared" si="104"/>
        <v>0</v>
      </c>
    </row>
    <row r="1203" spans="1:17">
      <c r="C1203" s="788">
        <f>IF(D1139="","-",+C1202+1)</f>
        <v>2072</v>
      </c>
      <c r="D1203" s="736">
        <f t="shared" si="105"/>
        <v>0</v>
      </c>
      <c r="E1203" s="789">
        <f t="shared" si="107"/>
        <v>0</v>
      </c>
      <c r="F1203" s="789">
        <f t="shared" si="101"/>
        <v>0</v>
      </c>
      <c r="G1203" s="736">
        <f t="shared" si="106"/>
        <v>0</v>
      </c>
      <c r="H1203" s="794">
        <f>+J1140*G1203+E1203</f>
        <v>0</v>
      </c>
      <c r="I1203" s="795">
        <f>+J1141*G1203+E1203</f>
        <v>0</v>
      </c>
      <c r="J1203" s="792">
        <f t="shared" si="108"/>
        <v>0</v>
      </c>
      <c r="K1203" s="792"/>
      <c r="L1203" s="812"/>
      <c r="M1203" s="792">
        <f t="shared" si="102"/>
        <v>0</v>
      </c>
      <c r="N1203" s="812"/>
      <c r="O1203" s="792">
        <f t="shared" si="103"/>
        <v>0</v>
      </c>
      <c r="P1203" s="792">
        <f t="shared" si="104"/>
        <v>0</v>
      </c>
    </row>
    <row r="1204" spans="1:17" ht="13.5" thickBot="1">
      <c r="C1204" s="798">
        <f>IF(D1139="","-",+C1203+1)</f>
        <v>2073</v>
      </c>
      <c r="D1204" s="799">
        <f t="shared" si="105"/>
        <v>0</v>
      </c>
      <c r="E1204" s="800">
        <f t="shared" si="107"/>
        <v>0</v>
      </c>
      <c r="F1204" s="1322">
        <f t="shared" si="101"/>
        <v>0</v>
      </c>
      <c r="G1204" s="799">
        <f t="shared" si="106"/>
        <v>0</v>
      </c>
      <c r="H1204" s="801">
        <f>+J1140*G1204+E1204</f>
        <v>0</v>
      </c>
      <c r="I1204" s="801">
        <f>+J1141*G1204+E1204</f>
        <v>0</v>
      </c>
      <c r="J1204" s="802">
        <f t="shared" si="108"/>
        <v>0</v>
      </c>
      <c r="K1204" s="792"/>
      <c r="L1204" s="813"/>
      <c r="M1204" s="802">
        <f t="shared" si="102"/>
        <v>0</v>
      </c>
      <c r="N1204" s="813"/>
      <c r="O1204" s="802">
        <f t="shared" si="103"/>
        <v>0</v>
      </c>
      <c r="P1204" s="802">
        <f t="shared" si="104"/>
        <v>0</v>
      </c>
    </row>
    <row r="1205" spans="1:17">
      <c r="C1205" s="736" t="s">
        <v>83</v>
      </c>
      <c r="D1205" s="730"/>
      <c r="E1205" s="730">
        <f>SUM(E1145:E1204)</f>
        <v>3781771.3500000006</v>
      </c>
      <c r="F1205" s="730"/>
      <c r="G1205" s="730"/>
      <c r="H1205" s="730">
        <f>SUM(H1145:H1204)</f>
        <v>13755039.626188299</v>
      </c>
      <c r="I1205" s="730">
        <f>SUM(I1145:I1204)</f>
        <v>13755039.626188299</v>
      </c>
      <c r="J1205" s="730">
        <f>SUM(J1145:J1204)</f>
        <v>0</v>
      </c>
      <c r="K1205" s="730"/>
      <c r="L1205" s="730"/>
      <c r="M1205" s="730"/>
      <c r="N1205" s="730"/>
      <c r="O1205" s="730"/>
    </row>
    <row r="1206" spans="1:17">
      <c r="D1206" s="538"/>
      <c r="E1206" s="313"/>
      <c r="F1206" s="313"/>
      <c r="G1206" s="313"/>
      <c r="H1206" s="313"/>
      <c r="I1206" s="708"/>
      <c r="J1206" s="708"/>
      <c r="K1206" s="730"/>
      <c r="L1206" s="708"/>
      <c r="M1206" s="708"/>
      <c r="N1206" s="708"/>
      <c r="O1206" s="708"/>
    </row>
    <row r="1207" spans="1:17">
      <c r="C1207" s="313" t="s">
        <v>13</v>
      </c>
      <c r="D1207" s="538"/>
      <c r="E1207" s="313"/>
      <c r="F1207" s="313"/>
      <c r="G1207" s="313"/>
      <c r="H1207" s="313"/>
      <c r="I1207" s="708"/>
      <c r="J1207" s="708"/>
      <c r="K1207" s="730"/>
      <c r="L1207" s="708"/>
      <c r="M1207" s="708"/>
      <c r="N1207" s="708"/>
      <c r="O1207" s="708"/>
    </row>
    <row r="1208" spans="1:17">
      <c r="C1208" s="313"/>
      <c r="D1208" s="538"/>
      <c r="E1208" s="313"/>
      <c r="F1208" s="313"/>
      <c r="G1208" s="313"/>
      <c r="H1208" s="313"/>
      <c r="I1208" s="708"/>
      <c r="J1208" s="708"/>
      <c r="K1208" s="730"/>
      <c r="L1208" s="708"/>
      <c r="M1208" s="708"/>
      <c r="N1208" s="708"/>
      <c r="O1208" s="708"/>
    </row>
    <row r="1209" spans="1:17">
      <c r="C1209" s="749" t="s">
        <v>14</v>
      </c>
      <c r="D1209" s="736"/>
      <c r="E1209" s="736"/>
      <c r="F1209" s="736"/>
      <c r="G1209" s="736"/>
      <c r="H1209" s="730"/>
      <c r="I1209" s="730"/>
      <c r="J1209" s="804"/>
      <c r="K1209" s="804"/>
      <c r="L1209" s="804"/>
      <c r="M1209" s="804"/>
      <c r="N1209" s="804"/>
      <c r="O1209" s="804"/>
    </row>
    <row r="1210" spans="1:17">
      <c r="C1210" s="735" t="s">
        <v>263</v>
      </c>
      <c r="D1210" s="736"/>
      <c r="E1210" s="736"/>
      <c r="F1210" s="736"/>
      <c r="G1210" s="736"/>
      <c r="H1210" s="730"/>
      <c r="I1210" s="730"/>
      <c r="J1210" s="804"/>
      <c r="K1210" s="804"/>
      <c r="L1210" s="804"/>
      <c r="M1210" s="804"/>
      <c r="N1210" s="804"/>
      <c r="O1210" s="804"/>
    </row>
    <row r="1211" spans="1:17">
      <c r="C1211" s="735" t="s">
        <v>84</v>
      </c>
      <c r="D1211" s="736"/>
      <c r="E1211" s="736"/>
      <c r="F1211" s="736"/>
      <c r="G1211" s="736"/>
      <c r="H1211" s="730"/>
      <c r="I1211" s="730"/>
      <c r="J1211" s="804"/>
      <c r="K1211" s="804"/>
      <c r="L1211" s="804"/>
      <c r="M1211" s="804"/>
      <c r="N1211" s="804"/>
      <c r="O1211" s="804"/>
    </row>
    <row r="1213" spans="1:17" ht="20.25">
      <c r="A1213" s="737" t="str">
        <f>""&amp;A1137&amp;" Worksheet K -  ATRR TRUE-UP Calculation for PJM Projects Charged to Benefiting Zones"</f>
        <v xml:space="preserve"> Worksheet K -  ATRR TRUE-UP Calculation for PJM Projects Charged to Benefiting Zones</v>
      </c>
      <c r="B1213" s="347"/>
      <c r="C1213" s="725"/>
      <c r="D1213" s="538"/>
      <c r="E1213" s="313"/>
      <c r="F1213" s="707"/>
      <c r="G1213" s="707"/>
      <c r="H1213" s="313"/>
      <c r="I1213" s="708"/>
      <c r="L1213" s="564"/>
      <c r="M1213" s="564"/>
      <c r="N1213" s="564"/>
      <c r="O1213" s="653" t="str">
        <f>"Page "&amp;SUM(Q$8:Q1213)&amp;" of "</f>
        <v xml:space="preserve">Page 15 of </v>
      </c>
      <c r="P1213" s="654">
        <f>COUNT(Q$8:Q$57703)</f>
        <v>22</v>
      </c>
      <c r="Q1213" s="655">
        <v>1</v>
      </c>
    </row>
    <row r="1214" spans="1:17">
      <c r="B1214" s="347"/>
      <c r="C1214" s="313"/>
      <c r="D1214" s="538"/>
      <c r="E1214" s="313"/>
      <c r="F1214" s="313"/>
      <c r="G1214" s="313"/>
      <c r="H1214" s="313"/>
      <c r="I1214" s="708"/>
      <c r="J1214" s="313"/>
      <c r="K1214" s="426"/>
    </row>
    <row r="1215" spans="1:17" ht="18">
      <c r="B1215" s="657" t="s">
        <v>466</v>
      </c>
      <c r="C1215" s="739" t="s">
        <v>85</v>
      </c>
      <c r="D1215" s="538"/>
      <c r="E1215" s="313"/>
      <c r="F1215" s="313"/>
      <c r="G1215" s="313"/>
      <c r="H1215" s="313"/>
      <c r="I1215" s="708"/>
      <c r="J1215" s="708"/>
      <c r="K1215" s="730"/>
      <c r="L1215" s="708"/>
      <c r="M1215" s="708"/>
      <c r="N1215" s="708"/>
      <c r="O1215" s="708"/>
    </row>
    <row r="1216" spans="1:17" ht="18.75">
      <c r="B1216" s="657"/>
      <c r="C1216" s="656"/>
      <c r="D1216" s="538"/>
      <c r="E1216" s="313"/>
      <c r="F1216" s="313"/>
      <c r="G1216" s="313"/>
      <c r="H1216" s="313"/>
      <c r="I1216" s="708"/>
      <c r="J1216" s="708"/>
      <c r="K1216" s="730"/>
      <c r="L1216" s="708"/>
      <c r="M1216" s="708"/>
      <c r="N1216" s="708"/>
      <c r="O1216" s="708"/>
    </row>
    <row r="1217" spans="2:16" ht="18.75">
      <c r="B1217" s="657"/>
      <c r="C1217" s="656" t="s">
        <v>86</v>
      </c>
      <c r="D1217" s="538"/>
      <c r="E1217" s="313"/>
      <c r="F1217" s="313"/>
      <c r="G1217" s="313"/>
      <c r="H1217" s="313"/>
      <c r="I1217" s="708"/>
      <c r="J1217" s="708"/>
      <c r="K1217" s="730"/>
      <c r="L1217" s="708"/>
      <c r="M1217" s="708"/>
      <c r="N1217" s="708"/>
      <c r="O1217" s="708"/>
    </row>
    <row r="1218" spans="2:16" ht="15.75" thickBot="1">
      <c r="C1218" s="239"/>
      <c r="D1218" s="538"/>
      <c r="E1218" s="313"/>
      <c r="F1218" s="313"/>
      <c r="G1218" s="313"/>
      <c r="H1218" s="313"/>
      <c r="I1218" s="708"/>
      <c r="J1218" s="708"/>
      <c r="K1218" s="730"/>
      <c r="L1218" s="708"/>
      <c r="M1218" s="708"/>
      <c r="N1218" s="708"/>
      <c r="O1218" s="708"/>
    </row>
    <row r="1219" spans="2:16" ht="15.75">
      <c r="C1219" s="659" t="s">
        <v>87</v>
      </c>
      <c r="D1219" s="538"/>
      <c r="E1219" s="313"/>
      <c r="F1219" s="313"/>
      <c r="G1219" s="313"/>
      <c r="H1219" s="806"/>
      <c r="I1219" s="313" t="s">
        <v>66</v>
      </c>
      <c r="J1219" s="313"/>
      <c r="K1219" s="426"/>
      <c r="L1219" s="835">
        <f>+J1225</f>
        <v>2023</v>
      </c>
      <c r="M1219" s="816" t="s">
        <v>45</v>
      </c>
      <c r="N1219" s="816" t="s">
        <v>46</v>
      </c>
      <c r="O1219" s="817" t="s">
        <v>47</v>
      </c>
    </row>
    <row r="1220" spans="2:16" ht="15.75">
      <c r="C1220" s="659"/>
      <c r="D1220" s="538"/>
      <c r="E1220" s="313"/>
      <c r="F1220" s="313"/>
      <c r="H1220" s="313"/>
      <c r="I1220" s="744"/>
      <c r="J1220" s="744"/>
      <c r="K1220" s="745"/>
      <c r="L1220" s="836" t="s">
        <v>235</v>
      </c>
      <c r="M1220" s="837">
        <f>VLOOKUP(J1225,C1232:P1291,10)</f>
        <v>4118560.2968732691</v>
      </c>
      <c r="N1220" s="837">
        <f>VLOOKUP(J1225,C1232:P1291,12)</f>
        <v>4118560.2968732691</v>
      </c>
      <c r="O1220" s="838">
        <f>+N1220-M1220</f>
        <v>0</v>
      </c>
    </row>
    <row r="1221" spans="2:16" ht="12.95" customHeight="1">
      <c r="C1221" s="749" t="s">
        <v>88</v>
      </c>
      <c r="D1221" s="1546" t="s">
        <v>823</v>
      </c>
      <c r="E1221" s="1546"/>
      <c r="F1221" s="1546"/>
      <c r="G1221" s="1546"/>
      <c r="H1221" s="1546"/>
      <c r="I1221" s="1546"/>
      <c r="J1221" s="708"/>
      <c r="K1221" s="730"/>
      <c r="L1221" s="836" t="s">
        <v>236</v>
      </c>
      <c r="M1221" s="839">
        <f>VLOOKUP(J1225,C1232:P1291,6)</f>
        <v>3942082.0998511752</v>
      </c>
      <c r="N1221" s="839">
        <f>VLOOKUP(J1225,C1232:P1291,7)</f>
        <v>3942082.0998511752</v>
      </c>
      <c r="O1221" s="840">
        <f>+N1221-M1221</f>
        <v>0</v>
      </c>
    </row>
    <row r="1222" spans="2:16" ht="13.5" thickBot="1">
      <c r="C1222" s="753"/>
      <c r="D1222" s="1546"/>
      <c r="E1222" s="1546"/>
      <c r="F1222" s="1546"/>
      <c r="G1222" s="1546"/>
      <c r="H1222" s="1546"/>
      <c r="I1222" s="1546"/>
      <c r="J1222" s="708"/>
      <c r="K1222" s="730"/>
      <c r="L1222" s="772" t="s">
        <v>237</v>
      </c>
      <c r="M1222" s="841">
        <f>+M1221-M1220</f>
        <v>-176478.19702209393</v>
      </c>
      <c r="N1222" s="841">
        <f>+N1221-N1220</f>
        <v>-176478.19702209393</v>
      </c>
      <c r="O1222" s="842">
        <f>+O1221-O1220</f>
        <v>0</v>
      </c>
    </row>
    <row r="1223" spans="2:16" ht="13.5" thickBot="1">
      <c r="C1223" s="756"/>
      <c r="D1223" s="757"/>
      <c r="E1223" s="755"/>
      <c r="F1223" s="755"/>
      <c r="G1223" s="755"/>
      <c r="H1223" s="755"/>
      <c r="I1223" s="755"/>
      <c r="J1223" s="755"/>
      <c r="K1223" s="758"/>
      <c r="L1223" s="755"/>
      <c r="M1223" s="755"/>
      <c r="N1223" s="755"/>
      <c r="O1223" s="755"/>
      <c r="P1223" s="347"/>
    </row>
    <row r="1224" spans="2:16" ht="13.5" thickBot="1">
      <c r="C1224" s="759" t="s">
        <v>89</v>
      </c>
      <c r="D1224" s="760"/>
      <c r="E1224" s="760"/>
      <c r="F1224" s="760"/>
      <c r="G1224" s="760"/>
      <c r="H1224" s="760"/>
      <c r="I1224" s="760"/>
      <c r="J1224" s="760"/>
      <c r="K1224" s="762"/>
      <c r="P1224" s="763"/>
    </row>
    <row r="1225" spans="2:16" ht="15">
      <c r="C1225" s="764" t="s">
        <v>67</v>
      </c>
      <c r="D1225" s="808">
        <v>27342437.460000001</v>
      </c>
      <c r="E1225" s="725" t="s">
        <v>68</v>
      </c>
      <c r="H1225" s="765"/>
      <c r="I1225" s="765"/>
      <c r="J1225" s="766">
        <f>$J$93</f>
        <v>2023</v>
      </c>
      <c r="K1225" s="554"/>
      <c r="L1225" s="1536" t="s">
        <v>69</v>
      </c>
      <c r="M1225" s="1536"/>
      <c r="N1225" s="1536"/>
      <c r="O1225" s="1536"/>
      <c r="P1225" s="426"/>
    </row>
    <row r="1226" spans="2:16">
      <c r="C1226" s="764" t="s">
        <v>70</v>
      </c>
      <c r="D1226" s="809">
        <v>2016</v>
      </c>
      <c r="E1226" s="764" t="s">
        <v>71</v>
      </c>
      <c r="F1226" s="765"/>
      <c r="G1226" s="765"/>
      <c r="I1226" s="172"/>
      <c r="J1226" s="810">
        <f>IF(H1219="",0,$F$17)</f>
        <v>0</v>
      </c>
      <c r="K1226" s="767"/>
      <c r="L1226" s="730" t="s">
        <v>277</v>
      </c>
      <c r="P1226" s="426"/>
    </row>
    <row r="1227" spans="2:16">
      <c r="C1227" s="764" t="s">
        <v>72</v>
      </c>
      <c r="D1227" s="808">
        <v>6</v>
      </c>
      <c r="E1227" s="764" t="s">
        <v>73</v>
      </c>
      <c r="F1227" s="765"/>
      <c r="G1227" s="765"/>
      <c r="I1227" s="172"/>
      <c r="J1227" s="768">
        <f>$F$70</f>
        <v>0.14450383244078713</v>
      </c>
      <c r="K1227" s="769"/>
      <c r="L1227" s="313" t="str">
        <f>"          INPUT TRUE-UP ARR (WITH &amp; WITHOUT INCENTIVES) FROM EACH PRIOR YEAR"</f>
        <v xml:space="preserve">          INPUT TRUE-UP ARR (WITH &amp; WITHOUT INCENTIVES) FROM EACH PRIOR YEAR</v>
      </c>
      <c r="P1227" s="426"/>
    </row>
    <row r="1228" spans="2:16">
      <c r="C1228" s="764" t="s">
        <v>74</v>
      </c>
      <c r="D1228" s="770">
        <f>H$79</f>
        <v>35</v>
      </c>
      <c r="E1228" s="764" t="s">
        <v>75</v>
      </c>
      <c r="F1228" s="765"/>
      <c r="G1228" s="765"/>
      <c r="I1228" s="172"/>
      <c r="J1228" s="768">
        <f>IF(H1219="",+J1227,$F$69)</f>
        <v>0.14450383244078713</v>
      </c>
      <c r="K1228" s="771"/>
      <c r="L1228" s="313" t="s">
        <v>157</v>
      </c>
      <c r="M1228" s="771"/>
      <c r="N1228" s="771"/>
      <c r="O1228" s="771"/>
      <c r="P1228" s="426"/>
    </row>
    <row r="1229" spans="2:16" ht="13.5" thickBot="1">
      <c r="C1229" s="764" t="s">
        <v>76</v>
      </c>
      <c r="D1229" s="807" t="s">
        <v>808</v>
      </c>
      <c r="E1229" s="772" t="s">
        <v>77</v>
      </c>
      <c r="F1229" s="773"/>
      <c r="G1229" s="773"/>
      <c r="H1229" s="774"/>
      <c r="I1229" s="774"/>
      <c r="J1229" s="752">
        <f>IF(D1225=0,0,D1225/D1228)</f>
        <v>781212.49885714287</v>
      </c>
      <c r="K1229" s="730"/>
      <c r="L1229" s="730" t="s">
        <v>158</v>
      </c>
      <c r="M1229" s="730"/>
      <c r="N1229" s="730"/>
      <c r="O1229" s="730"/>
      <c r="P1229" s="426"/>
    </row>
    <row r="1230" spans="2:16" ht="38.25">
      <c r="B1230" s="845"/>
      <c r="C1230" s="775" t="s">
        <v>67</v>
      </c>
      <c r="D1230" s="776" t="s">
        <v>78</v>
      </c>
      <c r="E1230" s="777" t="s">
        <v>79</v>
      </c>
      <c r="F1230" s="776" t="s">
        <v>80</v>
      </c>
      <c r="G1230" s="776" t="s">
        <v>238</v>
      </c>
      <c r="H1230" s="777" t="s">
        <v>151</v>
      </c>
      <c r="I1230" s="778" t="s">
        <v>151</v>
      </c>
      <c r="J1230" s="775" t="s">
        <v>90</v>
      </c>
      <c r="K1230" s="779"/>
      <c r="L1230" s="777" t="s">
        <v>153</v>
      </c>
      <c r="M1230" s="777" t="s">
        <v>159</v>
      </c>
      <c r="N1230" s="777" t="s">
        <v>153</v>
      </c>
      <c r="O1230" s="777" t="s">
        <v>161</v>
      </c>
      <c r="P1230" s="777" t="s">
        <v>81</v>
      </c>
    </row>
    <row r="1231" spans="2:16" ht="13.5" thickBot="1">
      <c r="C1231" s="781" t="s">
        <v>469</v>
      </c>
      <c r="D1231" s="782" t="s">
        <v>470</v>
      </c>
      <c r="E1231" s="781" t="s">
        <v>363</v>
      </c>
      <c r="F1231" s="782" t="s">
        <v>470</v>
      </c>
      <c r="G1231" s="782" t="s">
        <v>470</v>
      </c>
      <c r="H1231" s="783" t="s">
        <v>93</v>
      </c>
      <c r="I1231" s="784" t="s">
        <v>95</v>
      </c>
      <c r="J1231" s="785" t="s">
        <v>15</v>
      </c>
      <c r="K1231" s="786"/>
      <c r="L1231" s="783" t="s">
        <v>82</v>
      </c>
      <c r="M1231" s="783" t="s">
        <v>82</v>
      </c>
      <c r="N1231" s="783" t="s">
        <v>255</v>
      </c>
      <c r="O1231" s="783" t="s">
        <v>255</v>
      </c>
      <c r="P1231" s="783" t="s">
        <v>255</v>
      </c>
    </row>
    <row r="1232" spans="2:16">
      <c r="C1232" s="788">
        <f>IF(D1226= "","-",D1226)</f>
        <v>2016</v>
      </c>
      <c r="D1232" s="736">
        <f>+D1225</f>
        <v>27342437.460000001</v>
      </c>
      <c r="E1232" s="794">
        <f>+J1229/12*(12-D1227)</f>
        <v>390606.24942857143</v>
      </c>
      <c r="F1232" s="843">
        <f t="shared" ref="F1232:F1291" si="109">+D1232-E1232</f>
        <v>26951831.210571431</v>
      </c>
      <c r="G1232" s="736">
        <f>+(D1232+F1232)/2</f>
        <v>27147134.335285716</v>
      </c>
      <c r="H1232" s="790">
        <f>+J1227*G1232+E1232</f>
        <v>4313471.2006622376</v>
      </c>
      <c r="I1232" s="791">
        <f>+J1228*G1232+E1232</f>
        <v>4313471.2006622376</v>
      </c>
      <c r="J1232" s="792">
        <f>+I1232-H1232</f>
        <v>0</v>
      </c>
      <c r="K1232" s="792"/>
      <c r="L1232" s="811">
        <v>1957261</v>
      </c>
      <c r="M1232" s="844">
        <f t="shared" ref="M1232:M1291" si="110">IF(L1232&lt;&gt;0,+H1232-L1232,0)</f>
        <v>2356210.2006622376</v>
      </c>
      <c r="N1232" s="811">
        <v>1957261</v>
      </c>
      <c r="O1232" s="844">
        <f t="shared" ref="O1232:O1291" si="111">IF(N1232&lt;&gt;0,+I1232-N1232,0)</f>
        <v>2356210.2006622376</v>
      </c>
      <c r="P1232" s="844">
        <f t="shared" ref="P1232:P1291" si="112">+O1232-M1232</f>
        <v>0</v>
      </c>
    </row>
    <row r="1233" spans="3:16">
      <c r="C1233" s="788">
        <f>IF(D1226="","-",+C1232+1)</f>
        <v>2017</v>
      </c>
      <c r="D1233" s="736">
        <f t="shared" ref="D1233:D1291" si="113">F1232</f>
        <v>26951831.210571431</v>
      </c>
      <c r="E1233" s="789">
        <f>IF(D1233&gt;$J$1229,$J$1229,D1233)</f>
        <v>781212.49885714287</v>
      </c>
      <c r="F1233" s="789">
        <f t="shared" si="109"/>
        <v>26170618.711714286</v>
      </c>
      <c r="G1233" s="736">
        <f t="shared" ref="G1233:G1291" si="114">+(D1233+F1233)/2</f>
        <v>26561224.96114286</v>
      </c>
      <c r="H1233" s="794">
        <f>+J1227*G1233+E1233</f>
        <v>4619411.3000641838</v>
      </c>
      <c r="I1233" s="795">
        <f>+J1228*G1233+E1233</f>
        <v>4619411.3000641838</v>
      </c>
      <c r="J1233" s="792">
        <f>+I1233-H1233</f>
        <v>0</v>
      </c>
      <c r="K1233" s="792"/>
      <c r="L1233" s="812">
        <v>582397</v>
      </c>
      <c r="M1233" s="792">
        <f t="shared" si="110"/>
        <v>4037014.3000641838</v>
      </c>
      <c r="N1233" s="812">
        <v>582397</v>
      </c>
      <c r="O1233" s="792">
        <f t="shared" si="111"/>
        <v>4037014.3000641838</v>
      </c>
      <c r="P1233" s="792">
        <f t="shared" si="112"/>
        <v>0</v>
      </c>
    </row>
    <row r="1234" spans="3:16">
      <c r="C1234" s="788">
        <f>IF(D1226="","-",+C1233+1)</f>
        <v>2018</v>
      </c>
      <c r="D1234" s="1402">
        <f t="shared" si="113"/>
        <v>26170618.711714286</v>
      </c>
      <c r="E1234" s="789">
        <f t="shared" ref="E1234:E1290" si="115">IF(D1234&gt;$J$1229,$J$1229,D1234)</f>
        <v>781212.49885714287</v>
      </c>
      <c r="F1234" s="789">
        <f t="shared" si="109"/>
        <v>25389406.212857142</v>
      </c>
      <c r="G1234" s="736">
        <f t="shared" si="114"/>
        <v>25780012.462285712</v>
      </c>
      <c r="H1234" s="794">
        <f>+J1227*G1234+E1234</f>
        <v>4506523.1000286816</v>
      </c>
      <c r="I1234" s="795">
        <f>+J1228*G1234+E1234</f>
        <v>4506523.1000286816</v>
      </c>
      <c r="J1234" s="792">
        <f t="shared" ref="J1234:J1291" si="116">+I1234-H1234</f>
        <v>0</v>
      </c>
      <c r="K1234" s="792"/>
      <c r="L1234" s="812">
        <v>4098498</v>
      </c>
      <c r="M1234" s="792">
        <f t="shared" si="110"/>
        <v>408025.10002868157</v>
      </c>
      <c r="N1234" s="812">
        <v>4098498</v>
      </c>
      <c r="O1234" s="792">
        <f t="shared" si="111"/>
        <v>408025.10002868157</v>
      </c>
      <c r="P1234" s="792">
        <f t="shared" si="112"/>
        <v>0</v>
      </c>
    </row>
    <row r="1235" spans="3:16">
      <c r="C1235" s="788">
        <f>IF(D1226="","-",+C1234+1)</f>
        <v>2019</v>
      </c>
      <c r="D1235" s="1321">
        <f t="shared" si="113"/>
        <v>25389406.212857142</v>
      </c>
      <c r="E1235" s="789">
        <f t="shared" si="115"/>
        <v>781212.49885714287</v>
      </c>
      <c r="F1235" s="789">
        <f t="shared" si="109"/>
        <v>24608193.713999998</v>
      </c>
      <c r="G1235" s="736">
        <f t="shared" si="114"/>
        <v>24998799.963428572</v>
      </c>
      <c r="H1235" s="794">
        <f>+J1227*G1235+E1235</f>
        <v>4393634.8999931812</v>
      </c>
      <c r="I1235" s="795">
        <f>+J1228*G1235+E1235</f>
        <v>4393634.8999931812</v>
      </c>
      <c r="J1235" s="792">
        <f t="shared" si="116"/>
        <v>0</v>
      </c>
      <c r="K1235" s="792"/>
      <c r="L1235" s="812">
        <v>4209863.1789752766</v>
      </c>
      <c r="M1235" s="792">
        <f t="shared" si="110"/>
        <v>183771.72101790458</v>
      </c>
      <c r="N1235" s="812">
        <v>4209863.1789752766</v>
      </c>
      <c r="O1235" s="792">
        <f t="shared" si="111"/>
        <v>183771.72101790458</v>
      </c>
      <c r="P1235" s="792">
        <f t="shared" si="112"/>
        <v>0</v>
      </c>
    </row>
    <row r="1236" spans="3:16">
      <c r="C1236" s="788">
        <f>IF(D1226="","-",+C1235+1)</f>
        <v>2020</v>
      </c>
      <c r="D1236" s="1321">
        <f t="shared" si="113"/>
        <v>24608193.713999998</v>
      </c>
      <c r="E1236" s="789">
        <f t="shared" si="115"/>
        <v>781212.49885714287</v>
      </c>
      <c r="F1236" s="789">
        <f t="shared" si="109"/>
        <v>23826981.215142854</v>
      </c>
      <c r="G1236" s="736">
        <f t="shared" si="114"/>
        <v>24217587.464571424</v>
      </c>
      <c r="H1236" s="794">
        <f>+J1227*G1236+E1236</f>
        <v>4280746.6999576781</v>
      </c>
      <c r="I1236" s="795">
        <f>+J1228*G1236+E1236</f>
        <v>4280746.6999576781</v>
      </c>
      <c r="J1236" s="792">
        <f t="shared" si="116"/>
        <v>0</v>
      </c>
      <c r="K1236" s="792"/>
      <c r="L1236" s="812">
        <v>4424103.2123191142</v>
      </c>
      <c r="M1236" s="792">
        <f t="shared" si="110"/>
        <v>-143356.51236143615</v>
      </c>
      <c r="N1236" s="812">
        <v>4424103.2123191142</v>
      </c>
      <c r="O1236" s="792">
        <f t="shared" si="111"/>
        <v>-143356.51236143615</v>
      </c>
      <c r="P1236" s="792">
        <f t="shared" si="112"/>
        <v>0</v>
      </c>
    </row>
    <row r="1237" spans="3:16">
      <c r="C1237" s="788">
        <f>IF(D1226="","-",+C1236+1)</f>
        <v>2021</v>
      </c>
      <c r="D1237" s="1321">
        <f t="shared" si="113"/>
        <v>23826981.215142854</v>
      </c>
      <c r="E1237" s="789">
        <f t="shared" si="115"/>
        <v>781212.49885714287</v>
      </c>
      <c r="F1237" s="789">
        <f t="shared" si="109"/>
        <v>23045768.716285709</v>
      </c>
      <c r="G1237" s="736">
        <f t="shared" si="114"/>
        <v>23436374.965714283</v>
      </c>
      <c r="H1237" s="794">
        <f>+J1227*G1237+E1237</f>
        <v>4167858.4999221778</v>
      </c>
      <c r="I1237" s="795">
        <f>+J1228*G1237+E1237</f>
        <v>4167858.4999221778</v>
      </c>
      <c r="J1237" s="792">
        <f t="shared" si="116"/>
        <v>0</v>
      </c>
      <c r="K1237" s="792"/>
      <c r="L1237" s="812">
        <v>4212213.620028303</v>
      </c>
      <c r="M1237" s="792">
        <f t="shared" si="110"/>
        <v>-44355.12010612525</v>
      </c>
      <c r="N1237" s="812">
        <v>4212213.620028303</v>
      </c>
      <c r="O1237" s="792">
        <f t="shared" si="111"/>
        <v>-44355.12010612525</v>
      </c>
      <c r="P1237" s="792">
        <f t="shared" si="112"/>
        <v>0</v>
      </c>
    </row>
    <row r="1238" spans="3:16">
      <c r="C1238" s="788">
        <f>IF(D1226="","-",+C1237+1)</f>
        <v>2022</v>
      </c>
      <c r="D1238" s="1321">
        <f t="shared" si="113"/>
        <v>23045768.716285709</v>
      </c>
      <c r="E1238" s="789">
        <f t="shared" si="115"/>
        <v>781212.49885714287</v>
      </c>
      <c r="F1238" s="789">
        <f t="shared" si="109"/>
        <v>22264556.217428565</v>
      </c>
      <c r="G1238" s="736">
        <f t="shared" si="114"/>
        <v>22655162.466857135</v>
      </c>
      <c r="H1238" s="794">
        <f>+J1227*G1238+E1238</f>
        <v>4054970.299886676</v>
      </c>
      <c r="I1238" s="795">
        <f>+J1228*G1238+E1238</f>
        <v>4054970.299886676</v>
      </c>
      <c r="J1238" s="792">
        <f t="shared" si="116"/>
        <v>0</v>
      </c>
      <c r="K1238" s="792"/>
      <c r="L1238" s="812">
        <v>4215783.0745712621</v>
      </c>
      <c r="M1238" s="792">
        <f t="shared" si="110"/>
        <v>-160812.7746845861</v>
      </c>
      <c r="N1238" s="812">
        <v>4215783.0745712621</v>
      </c>
      <c r="O1238" s="792">
        <f t="shared" si="111"/>
        <v>-160812.7746845861</v>
      </c>
      <c r="P1238" s="792">
        <f t="shared" si="112"/>
        <v>0</v>
      </c>
    </row>
    <row r="1239" spans="3:16">
      <c r="C1239" s="788">
        <f>IF(D1226="","-",+C1238+1)</f>
        <v>2023</v>
      </c>
      <c r="D1239" s="1321">
        <f t="shared" si="113"/>
        <v>22264556.217428565</v>
      </c>
      <c r="E1239" s="789">
        <f t="shared" si="115"/>
        <v>781212.49885714287</v>
      </c>
      <c r="F1239" s="789">
        <f t="shared" si="109"/>
        <v>21483343.718571421</v>
      </c>
      <c r="G1239" s="736">
        <f t="shared" si="114"/>
        <v>21873949.967999995</v>
      </c>
      <c r="H1239" s="794">
        <f>+J1227*G1239+E1239</f>
        <v>3942082.0998511752</v>
      </c>
      <c r="I1239" s="795">
        <f>+J1228*G1239+E1239</f>
        <v>3942082.0998511752</v>
      </c>
      <c r="J1239" s="792">
        <f t="shared" si="116"/>
        <v>0</v>
      </c>
      <c r="K1239" s="792"/>
      <c r="L1239" s="812">
        <v>4118560.2968732691</v>
      </c>
      <c r="M1239" s="792">
        <f t="shared" si="110"/>
        <v>-176478.19702209393</v>
      </c>
      <c r="N1239" s="812">
        <v>4118560.2968732691</v>
      </c>
      <c r="O1239" s="792">
        <f t="shared" si="111"/>
        <v>-176478.19702209393</v>
      </c>
      <c r="P1239" s="792">
        <f t="shared" si="112"/>
        <v>0</v>
      </c>
    </row>
    <row r="1240" spans="3:16">
      <c r="C1240" s="788">
        <f>IF(D1226="","-",+C1239+1)</f>
        <v>2024</v>
      </c>
      <c r="D1240" s="736">
        <f t="shared" si="113"/>
        <v>21483343.718571421</v>
      </c>
      <c r="E1240" s="789">
        <f t="shared" si="115"/>
        <v>781212.49885714287</v>
      </c>
      <c r="F1240" s="789">
        <f t="shared" si="109"/>
        <v>20702131.219714276</v>
      </c>
      <c r="G1240" s="736">
        <f t="shared" si="114"/>
        <v>21092737.469142847</v>
      </c>
      <c r="H1240" s="794">
        <f>+J1227*G1240+E1240</f>
        <v>3829193.899815673</v>
      </c>
      <c r="I1240" s="795">
        <f>+J1228*G1240+E1240</f>
        <v>3829193.899815673</v>
      </c>
      <c r="J1240" s="792">
        <f t="shared" si="116"/>
        <v>0</v>
      </c>
      <c r="K1240" s="792"/>
      <c r="L1240" s="812"/>
      <c r="M1240" s="792">
        <f t="shared" si="110"/>
        <v>0</v>
      </c>
      <c r="N1240" s="812"/>
      <c r="O1240" s="792">
        <f t="shared" si="111"/>
        <v>0</v>
      </c>
      <c r="P1240" s="792">
        <f t="shared" si="112"/>
        <v>0</v>
      </c>
    </row>
    <row r="1241" spans="3:16">
      <c r="C1241" s="788">
        <f>IF(D1226="","-",+C1240+1)</f>
        <v>2025</v>
      </c>
      <c r="D1241" s="736">
        <f t="shared" si="113"/>
        <v>20702131.219714276</v>
      </c>
      <c r="E1241" s="789">
        <f t="shared" si="115"/>
        <v>781212.49885714287</v>
      </c>
      <c r="F1241" s="789">
        <f t="shared" si="109"/>
        <v>19920918.720857132</v>
      </c>
      <c r="G1241" s="736">
        <f t="shared" si="114"/>
        <v>20311524.970285706</v>
      </c>
      <c r="H1241" s="794">
        <f>+J1227*G1241+E1241</f>
        <v>3716305.6997801722</v>
      </c>
      <c r="I1241" s="795">
        <f>+J1228*G1241+E1241</f>
        <v>3716305.6997801722</v>
      </c>
      <c r="J1241" s="792">
        <f t="shared" si="116"/>
        <v>0</v>
      </c>
      <c r="K1241" s="792"/>
      <c r="L1241" s="812"/>
      <c r="M1241" s="792">
        <f t="shared" si="110"/>
        <v>0</v>
      </c>
      <c r="N1241" s="812"/>
      <c r="O1241" s="792">
        <f t="shared" si="111"/>
        <v>0</v>
      </c>
      <c r="P1241" s="792">
        <f t="shared" si="112"/>
        <v>0</v>
      </c>
    </row>
    <row r="1242" spans="3:16">
      <c r="C1242" s="788">
        <f>IF(D1226="","-",+C1241+1)</f>
        <v>2026</v>
      </c>
      <c r="D1242" s="736">
        <f t="shared" si="113"/>
        <v>19920918.720857132</v>
      </c>
      <c r="E1242" s="789">
        <f t="shared" si="115"/>
        <v>781212.49885714287</v>
      </c>
      <c r="F1242" s="789">
        <f t="shared" si="109"/>
        <v>19139706.221999988</v>
      </c>
      <c r="G1242" s="736">
        <f t="shared" si="114"/>
        <v>19530312.471428558</v>
      </c>
      <c r="H1242" s="794">
        <f>+J1227*G1242+E1242</f>
        <v>3603417.4997446705</v>
      </c>
      <c r="I1242" s="795">
        <f>+J1228*G1242+E1242</f>
        <v>3603417.4997446705</v>
      </c>
      <c r="J1242" s="792">
        <f t="shared" si="116"/>
        <v>0</v>
      </c>
      <c r="K1242" s="792"/>
      <c r="L1242" s="812"/>
      <c r="M1242" s="792">
        <f t="shared" si="110"/>
        <v>0</v>
      </c>
      <c r="N1242" s="812"/>
      <c r="O1242" s="792">
        <f t="shared" si="111"/>
        <v>0</v>
      </c>
      <c r="P1242" s="792">
        <f t="shared" si="112"/>
        <v>0</v>
      </c>
    </row>
    <row r="1243" spans="3:16">
      <c r="C1243" s="788">
        <f>IF(D1226="","-",+C1242+1)</f>
        <v>2027</v>
      </c>
      <c r="D1243" s="736">
        <f t="shared" si="113"/>
        <v>19139706.221999988</v>
      </c>
      <c r="E1243" s="789">
        <f t="shared" si="115"/>
        <v>781212.49885714287</v>
      </c>
      <c r="F1243" s="789">
        <f t="shared" si="109"/>
        <v>18358493.723142844</v>
      </c>
      <c r="G1243" s="736">
        <f t="shared" si="114"/>
        <v>18749099.972571418</v>
      </c>
      <c r="H1243" s="794">
        <f>+J1227*G1243+E1243</f>
        <v>3490529.2997091697</v>
      </c>
      <c r="I1243" s="795">
        <f>+J1228*G1243+E1243</f>
        <v>3490529.2997091697</v>
      </c>
      <c r="J1243" s="792">
        <f t="shared" si="116"/>
        <v>0</v>
      </c>
      <c r="K1243" s="792"/>
      <c r="L1243" s="812"/>
      <c r="M1243" s="792">
        <f t="shared" si="110"/>
        <v>0</v>
      </c>
      <c r="N1243" s="812"/>
      <c r="O1243" s="792">
        <f t="shared" si="111"/>
        <v>0</v>
      </c>
      <c r="P1243" s="792">
        <f t="shared" si="112"/>
        <v>0</v>
      </c>
    </row>
    <row r="1244" spans="3:16">
      <c r="C1244" s="788">
        <f>IF(D1226="","-",+C1243+1)</f>
        <v>2028</v>
      </c>
      <c r="D1244" s="736">
        <f t="shared" si="113"/>
        <v>18358493.723142844</v>
      </c>
      <c r="E1244" s="789">
        <f t="shared" si="115"/>
        <v>781212.49885714287</v>
      </c>
      <c r="F1244" s="789">
        <f t="shared" si="109"/>
        <v>17577281.224285699</v>
      </c>
      <c r="G1244" s="736">
        <f t="shared" si="114"/>
        <v>17967887.47371427</v>
      </c>
      <c r="H1244" s="794">
        <f>+J1227*G1244+E1244</f>
        <v>3377641.0996736675</v>
      </c>
      <c r="I1244" s="795">
        <f>+J1228*G1244+E1244</f>
        <v>3377641.0996736675</v>
      </c>
      <c r="J1244" s="792">
        <f t="shared" si="116"/>
        <v>0</v>
      </c>
      <c r="K1244" s="792"/>
      <c r="L1244" s="812"/>
      <c r="M1244" s="792">
        <f t="shared" si="110"/>
        <v>0</v>
      </c>
      <c r="N1244" s="812"/>
      <c r="O1244" s="792">
        <f t="shared" si="111"/>
        <v>0</v>
      </c>
      <c r="P1244" s="792">
        <f t="shared" si="112"/>
        <v>0</v>
      </c>
    </row>
    <row r="1245" spans="3:16">
      <c r="C1245" s="788">
        <f>IF(D1226="","-",+C1244+1)</f>
        <v>2029</v>
      </c>
      <c r="D1245" s="736">
        <f t="shared" si="113"/>
        <v>17577281.224285699</v>
      </c>
      <c r="E1245" s="789">
        <f t="shared" si="115"/>
        <v>781212.49885714287</v>
      </c>
      <c r="F1245" s="789">
        <f t="shared" si="109"/>
        <v>16796068.725428555</v>
      </c>
      <c r="G1245" s="736">
        <f t="shared" si="114"/>
        <v>17186674.974857129</v>
      </c>
      <c r="H1245" s="794">
        <f>+J1227*G1245+E1245</f>
        <v>3264752.8996381667</v>
      </c>
      <c r="I1245" s="795">
        <f>+J1228*G1245+E1245</f>
        <v>3264752.8996381667</v>
      </c>
      <c r="J1245" s="792">
        <f t="shared" si="116"/>
        <v>0</v>
      </c>
      <c r="K1245" s="792"/>
      <c r="L1245" s="812"/>
      <c r="M1245" s="792">
        <f t="shared" si="110"/>
        <v>0</v>
      </c>
      <c r="N1245" s="812"/>
      <c r="O1245" s="792">
        <f t="shared" si="111"/>
        <v>0</v>
      </c>
      <c r="P1245" s="792">
        <f t="shared" si="112"/>
        <v>0</v>
      </c>
    </row>
    <row r="1246" spans="3:16">
      <c r="C1246" s="788">
        <f>IF(D1226="","-",+C1245+1)</f>
        <v>2030</v>
      </c>
      <c r="D1246" s="736">
        <f t="shared" si="113"/>
        <v>16796068.725428555</v>
      </c>
      <c r="E1246" s="789">
        <f t="shared" si="115"/>
        <v>781212.49885714287</v>
      </c>
      <c r="F1246" s="789">
        <f t="shared" si="109"/>
        <v>16014856.226571413</v>
      </c>
      <c r="G1246" s="736">
        <f t="shared" si="114"/>
        <v>16405462.475999985</v>
      </c>
      <c r="H1246" s="794">
        <f>+J1227*G1246+E1246</f>
        <v>3151864.6996026654</v>
      </c>
      <c r="I1246" s="795">
        <f>+J1228*G1246+E1246</f>
        <v>3151864.6996026654</v>
      </c>
      <c r="J1246" s="792">
        <f t="shared" si="116"/>
        <v>0</v>
      </c>
      <c r="K1246" s="792"/>
      <c r="L1246" s="812"/>
      <c r="M1246" s="792">
        <f t="shared" si="110"/>
        <v>0</v>
      </c>
      <c r="N1246" s="812"/>
      <c r="O1246" s="792">
        <f t="shared" si="111"/>
        <v>0</v>
      </c>
      <c r="P1246" s="792">
        <f t="shared" si="112"/>
        <v>0</v>
      </c>
    </row>
    <row r="1247" spans="3:16">
      <c r="C1247" s="788">
        <f>IF(D1226="","-",+C1246+1)</f>
        <v>2031</v>
      </c>
      <c r="D1247" s="736">
        <f t="shared" si="113"/>
        <v>16014856.226571413</v>
      </c>
      <c r="E1247" s="789">
        <f t="shared" si="115"/>
        <v>781212.49885714287</v>
      </c>
      <c r="F1247" s="789">
        <f t="shared" si="109"/>
        <v>15233643.72771427</v>
      </c>
      <c r="G1247" s="736">
        <f t="shared" si="114"/>
        <v>15624249.977142841</v>
      </c>
      <c r="H1247" s="794">
        <f>+J1227*G1247+E1247</f>
        <v>3038976.4995671641</v>
      </c>
      <c r="I1247" s="795">
        <f>+J1228*G1247+E1247</f>
        <v>3038976.4995671641</v>
      </c>
      <c r="J1247" s="792">
        <f t="shared" si="116"/>
        <v>0</v>
      </c>
      <c r="K1247" s="792"/>
      <c r="L1247" s="812"/>
      <c r="M1247" s="792">
        <f t="shared" si="110"/>
        <v>0</v>
      </c>
      <c r="N1247" s="812"/>
      <c r="O1247" s="792">
        <f t="shared" si="111"/>
        <v>0</v>
      </c>
      <c r="P1247" s="792">
        <f t="shared" si="112"/>
        <v>0</v>
      </c>
    </row>
    <row r="1248" spans="3:16">
      <c r="C1248" s="788">
        <f>IF(D1226="","-",+C1247+1)</f>
        <v>2032</v>
      </c>
      <c r="D1248" s="736">
        <f t="shared" si="113"/>
        <v>15233643.72771427</v>
      </c>
      <c r="E1248" s="789">
        <f t="shared" si="115"/>
        <v>781212.49885714287</v>
      </c>
      <c r="F1248" s="789">
        <f t="shared" si="109"/>
        <v>14452431.228857128</v>
      </c>
      <c r="G1248" s="736">
        <f t="shared" si="114"/>
        <v>14843037.4782857</v>
      </c>
      <c r="H1248" s="794">
        <f>+J1227*G1248+E1248</f>
        <v>2926088.2995316633</v>
      </c>
      <c r="I1248" s="795">
        <f>+J1228*G1248+E1248</f>
        <v>2926088.2995316633</v>
      </c>
      <c r="J1248" s="792">
        <f t="shared" si="116"/>
        <v>0</v>
      </c>
      <c r="K1248" s="792"/>
      <c r="L1248" s="812"/>
      <c r="M1248" s="792">
        <f t="shared" si="110"/>
        <v>0</v>
      </c>
      <c r="N1248" s="812"/>
      <c r="O1248" s="792">
        <f t="shared" si="111"/>
        <v>0</v>
      </c>
      <c r="P1248" s="792">
        <f t="shared" si="112"/>
        <v>0</v>
      </c>
    </row>
    <row r="1249" spans="3:16">
      <c r="C1249" s="788">
        <f>IF(D1226="","-",+C1248+1)</f>
        <v>2033</v>
      </c>
      <c r="D1249" s="736">
        <f t="shared" si="113"/>
        <v>14452431.228857128</v>
      </c>
      <c r="E1249" s="789">
        <f t="shared" si="115"/>
        <v>781212.49885714287</v>
      </c>
      <c r="F1249" s="789">
        <f t="shared" si="109"/>
        <v>13671218.729999986</v>
      </c>
      <c r="G1249" s="736">
        <f t="shared" si="114"/>
        <v>14061824.979428556</v>
      </c>
      <c r="H1249" s="794">
        <f>+J1227*G1249+E1249</f>
        <v>2813200.0994961616</v>
      </c>
      <c r="I1249" s="795">
        <f>+J1228*G1249+E1249</f>
        <v>2813200.0994961616</v>
      </c>
      <c r="J1249" s="792">
        <f t="shared" si="116"/>
        <v>0</v>
      </c>
      <c r="K1249" s="792"/>
      <c r="L1249" s="812"/>
      <c r="M1249" s="792">
        <f t="shared" si="110"/>
        <v>0</v>
      </c>
      <c r="N1249" s="812"/>
      <c r="O1249" s="792">
        <f t="shared" si="111"/>
        <v>0</v>
      </c>
      <c r="P1249" s="792">
        <f t="shared" si="112"/>
        <v>0</v>
      </c>
    </row>
    <row r="1250" spans="3:16">
      <c r="C1250" s="788">
        <f>IF(D1226="","-",+C1249+1)</f>
        <v>2034</v>
      </c>
      <c r="D1250" s="736">
        <f t="shared" si="113"/>
        <v>13671218.729999986</v>
      </c>
      <c r="E1250" s="789">
        <f t="shared" si="115"/>
        <v>781212.49885714287</v>
      </c>
      <c r="F1250" s="789">
        <f t="shared" si="109"/>
        <v>12890006.231142843</v>
      </c>
      <c r="G1250" s="736">
        <f t="shared" si="114"/>
        <v>13280612.480571415</v>
      </c>
      <c r="H1250" s="794">
        <f>+J1227*G1250+E1250</f>
        <v>2700311.8994606612</v>
      </c>
      <c r="I1250" s="795">
        <f>+J1228*G1250+E1250</f>
        <v>2700311.8994606612</v>
      </c>
      <c r="J1250" s="792">
        <f t="shared" si="116"/>
        <v>0</v>
      </c>
      <c r="K1250" s="792"/>
      <c r="L1250" s="812"/>
      <c r="M1250" s="792">
        <f t="shared" si="110"/>
        <v>0</v>
      </c>
      <c r="N1250" s="812"/>
      <c r="O1250" s="792">
        <f t="shared" si="111"/>
        <v>0</v>
      </c>
      <c r="P1250" s="792">
        <f t="shared" si="112"/>
        <v>0</v>
      </c>
    </row>
    <row r="1251" spans="3:16">
      <c r="C1251" s="788">
        <f>IF(D1226="","-",+C1250+1)</f>
        <v>2035</v>
      </c>
      <c r="D1251" s="736">
        <f t="shared" si="113"/>
        <v>12890006.231142843</v>
      </c>
      <c r="E1251" s="789">
        <f t="shared" si="115"/>
        <v>781212.49885714287</v>
      </c>
      <c r="F1251" s="789">
        <f t="shared" si="109"/>
        <v>12108793.732285701</v>
      </c>
      <c r="G1251" s="736">
        <f t="shared" si="114"/>
        <v>12499399.981714271</v>
      </c>
      <c r="H1251" s="794">
        <f>+J1227*G1251+E1251</f>
        <v>2587423.6994251595</v>
      </c>
      <c r="I1251" s="795">
        <f>+J1228*G1251+E1251</f>
        <v>2587423.6994251595</v>
      </c>
      <c r="J1251" s="792">
        <f t="shared" si="116"/>
        <v>0</v>
      </c>
      <c r="K1251" s="792"/>
      <c r="L1251" s="812"/>
      <c r="M1251" s="792">
        <f t="shared" si="110"/>
        <v>0</v>
      </c>
      <c r="N1251" s="812"/>
      <c r="O1251" s="792">
        <f t="shared" si="111"/>
        <v>0</v>
      </c>
      <c r="P1251" s="792">
        <f t="shared" si="112"/>
        <v>0</v>
      </c>
    </row>
    <row r="1252" spans="3:16">
      <c r="C1252" s="788">
        <f>IF(D1226="","-",+C1251+1)</f>
        <v>2036</v>
      </c>
      <c r="D1252" s="736">
        <f t="shared" si="113"/>
        <v>12108793.732285701</v>
      </c>
      <c r="E1252" s="789">
        <f t="shared" si="115"/>
        <v>781212.49885714287</v>
      </c>
      <c r="F1252" s="789">
        <f t="shared" si="109"/>
        <v>11327581.233428558</v>
      </c>
      <c r="G1252" s="736">
        <f t="shared" si="114"/>
        <v>11718187.48285713</v>
      </c>
      <c r="H1252" s="794">
        <f>+J1227*G1252+E1252</f>
        <v>2474535.4993896587</v>
      </c>
      <c r="I1252" s="795">
        <f>+J1228*G1252+E1252</f>
        <v>2474535.4993896587</v>
      </c>
      <c r="J1252" s="792">
        <f t="shared" si="116"/>
        <v>0</v>
      </c>
      <c r="K1252" s="792"/>
      <c r="L1252" s="812"/>
      <c r="M1252" s="792">
        <f t="shared" si="110"/>
        <v>0</v>
      </c>
      <c r="N1252" s="812"/>
      <c r="O1252" s="792">
        <f t="shared" si="111"/>
        <v>0</v>
      </c>
      <c r="P1252" s="792">
        <f t="shared" si="112"/>
        <v>0</v>
      </c>
    </row>
    <row r="1253" spans="3:16">
      <c r="C1253" s="788">
        <f>IF(D1226="","-",+C1252+1)</f>
        <v>2037</v>
      </c>
      <c r="D1253" s="736">
        <f t="shared" si="113"/>
        <v>11327581.233428558</v>
      </c>
      <c r="E1253" s="789">
        <f t="shared" si="115"/>
        <v>781212.49885714287</v>
      </c>
      <c r="F1253" s="789">
        <f t="shared" si="109"/>
        <v>10546368.734571416</v>
      </c>
      <c r="G1253" s="736">
        <f t="shared" si="114"/>
        <v>10936974.983999986</v>
      </c>
      <c r="H1253" s="794">
        <f>+J1227*G1253+E1253</f>
        <v>2361647.2993541574</v>
      </c>
      <c r="I1253" s="795">
        <f>+J1228*G1253+E1253</f>
        <v>2361647.2993541574</v>
      </c>
      <c r="J1253" s="792">
        <f t="shared" si="116"/>
        <v>0</v>
      </c>
      <c r="K1253" s="792"/>
      <c r="L1253" s="812"/>
      <c r="M1253" s="792">
        <f t="shared" si="110"/>
        <v>0</v>
      </c>
      <c r="N1253" s="812"/>
      <c r="O1253" s="792">
        <f t="shared" si="111"/>
        <v>0</v>
      </c>
      <c r="P1253" s="792">
        <f t="shared" si="112"/>
        <v>0</v>
      </c>
    </row>
    <row r="1254" spans="3:16">
      <c r="C1254" s="788">
        <f>IF(D1226="","-",+C1253+1)</f>
        <v>2038</v>
      </c>
      <c r="D1254" s="736">
        <f t="shared" si="113"/>
        <v>10546368.734571416</v>
      </c>
      <c r="E1254" s="789">
        <f t="shared" si="115"/>
        <v>781212.49885714287</v>
      </c>
      <c r="F1254" s="789">
        <f t="shared" si="109"/>
        <v>9765156.2357142735</v>
      </c>
      <c r="G1254" s="736">
        <f t="shared" si="114"/>
        <v>10155762.485142846</v>
      </c>
      <c r="H1254" s="794">
        <f>+J1227*G1254+E1254</f>
        <v>2248759.0993186566</v>
      </c>
      <c r="I1254" s="795">
        <f>+J1228*G1254+E1254</f>
        <v>2248759.0993186566</v>
      </c>
      <c r="J1254" s="792">
        <f t="shared" si="116"/>
        <v>0</v>
      </c>
      <c r="K1254" s="792"/>
      <c r="L1254" s="812"/>
      <c r="M1254" s="792">
        <f t="shared" si="110"/>
        <v>0</v>
      </c>
      <c r="N1254" s="812"/>
      <c r="O1254" s="792">
        <f t="shared" si="111"/>
        <v>0</v>
      </c>
      <c r="P1254" s="792">
        <f t="shared" si="112"/>
        <v>0</v>
      </c>
    </row>
    <row r="1255" spans="3:16">
      <c r="C1255" s="788">
        <f>IF(D1226="","-",+C1254+1)</f>
        <v>2039</v>
      </c>
      <c r="D1255" s="736">
        <f t="shared" si="113"/>
        <v>9765156.2357142735</v>
      </c>
      <c r="E1255" s="789">
        <f t="shared" si="115"/>
        <v>781212.49885714287</v>
      </c>
      <c r="F1255" s="789">
        <f t="shared" si="109"/>
        <v>8983943.7368571311</v>
      </c>
      <c r="G1255" s="736">
        <f t="shared" si="114"/>
        <v>9374549.9862857014</v>
      </c>
      <c r="H1255" s="794">
        <f>+J1227*G1255+E1255</f>
        <v>2135870.8992831549</v>
      </c>
      <c r="I1255" s="795">
        <f>+J1228*G1255+E1255</f>
        <v>2135870.8992831549</v>
      </c>
      <c r="J1255" s="792">
        <f t="shared" si="116"/>
        <v>0</v>
      </c>
      <c r="K1255" s="792"/>
      <c r="L1255" s="812"/>
      <c r="M1255" s="792">
        <f t="shared" si="110"/>
        <v>0</v>
      </c>
      <c r="N1255" s="812"/>
      <c r="O1255" s="792">
        <f t="shared" si="111"/>
        <v>0</v>
      </c>
      <c r="P1255" s="792">
        <f t="shared" si="112"/>
        <v>0</v>
      </c>
    </row>
    <row r="1256" spans="3:16">
      <c r="C1256" s="788">
        <f>IF(D1226="","-",+C1255+1)</f>
        <v>2040</v>
      </c>
      <c r="D1256" s="736">
        <f t="shared" si="113"/>
        <v>8983943.7368571311</v>
      </c>
      <c r="E1256" s="789">
        <f t="shared" si="115"/>
        <v>781212.49885714287</v>
      </c>
      <c r="F1256" s="789">
        <f t="shared" si="109"/>
        <v>8202731.2379999887</v>
      </c>
      <c r="G1256" s="736">
        <f t="shared" si="114"/>
        <v>8593337.4874285609</v>
      </c>
      <c r="H1256" s="794">
        <f>+J1227*G1256+E1256</f>
        <v>2022982.6992476543</v>
      </c>
      <c r="I1256" s="795">
        <f>+J1228*G1256+E1256</f>
        <v>2022982.6992476543</v>
      </c>
      <c r="J1256" s="792">
        <f t="shared" si="116"/>
        <v>0</v>
      </c>
      <c r="K1256" s="792"/>
      <c r="L1256" s="812"/>
      <c r="M1256" s="792">
        <f t="shared" si="110"/>
        <v>0</v>
      </c>
      <c r="N1256" s="812"/>
      <c r="O1256" s="792">
        <f t="shared" si="111"/>
        <v>0</v>
      </c>
      <c r="P1256" s="792">
        <f t="shared" si="112"/>
        <v>0</v>
      </c>
    </row>
    <row r="1257" spans="3:16">
      <c r="C1257" s="788">
        <f>IF(D1226="","-",+C1256+1)</f>
        <v>2041</v>
      </c>
      <c r="D1257" s="736">
        <f t="shared" si="113"/>
        <v>8202731.2379999887</v>
      </c>
      <c r="E1257" s="789">
        <f t="shared" si="115"/>
        <v>781212.49885714287</v>
      </c>
      <c r="F1257" s="789">
        <f t="shared" si="109"/>
        <v>7421518.7391428463</v>
      </c>
      <c r="G1257" s="736">
        <f t="shared" si="114"/>
        <v>7812124.9885714175</v>
      </c>
      <c r="H1257" s="794">
        <f>+J1227*G1257+E1257</f>
        <v>1910094.499212153</v>
      </c>
      <c r="I1257" s="795">
        <f>+J1228*G1257+E1257</f>
        <v>1910094.499212153</v>
      </c>
      <c r="J1257" s="792">
        <f t="shared" si="116"/>
        <v>0</v>
      </c>
      <c r="K1257" s="792"/>
      <c r="L1257" s="812"/>
      <c r="M1257" s="792">
        <f t="shared" si="110"/>
        <v>0</v>
      </c>
      <c r="N1257" s="812"/>
      <c r="O1257" s="792">
        <f t="shared" si="111"/>
        <v>0</v>
      </c>
      <c r="P1257" s="792">
        <f t="shared" si="112"/>
        <v>0</v>
      </c>
    </row>
    <row r="1258" spans="3:16">
      <c r="C1258" s="788">
        <f>IF(D1226="","-",+C1257+1)</f>
        <v>2042</v>
      </c>
      <c r="D1258" s="736">
        <f t="shared" si="113"/>
        <v>7421518.7391428463</v>
      </c>
      <c r="E1258" s="789">
        <f t="shared" si="115"/>
        <v>781212.49885714287</v>
      </c>
      <c r="F1258" s="789">
        <f t="shared" si="109"/>
        <v>6640306.2402857039</v>
      </c>
      <c r="G1258" s="736">
        <f t="shared" si="114"/>
        <v>7030912.4897142751</v>
      </c>
      <c r="H1258" s="794">
        <f>+J1227*G1258+E1258</f>
        <v>1797206.299176652</v>
      </c>
      <c r="I1258" s="795">
        <f>+J1228*G1258+E1258</f>
        <v>1797206.299176652</v>
      </c>
      <c r="J1258" s="792">
        <f t="shared" si="116"/>
        <v>0</v>
      </c>
      <c r="K1258" s="792"/>
      <c r="L1258" s="812"/>
      <c r="M1258" s="792">
        <f t="shared" si="110"/>
        <v>0</v>
      </c>
      <c r="N1258" s="812"/>
      <c r="O1258" s="792">
        <f t="shared" si="111"/>
        <v>0</v>
      </c>
      <c r="P1258" s="792">
        <f t="shared" si="112"/>
        <v>0</v>
      </c>
    </row>
    <row r="1259" spans="3:16">
      <c r="C1259" s="788">
        <f>IF(D1226="","-",+C1258+1)</f>
        <v>2043</v>
      </c>
      <c r="D1259" s="736">
        <f t="shared" si="113"/>
        <v>6640306.2402857039</v>
      </c>
      <c r="E1259" s="789">
        <f t="shared" si="115"/>
        <v>781212.49885714287</v>
      </c>
      <c r="F1259" s="789">
        <f t="shared" si="109"/>
        <v>5859093.7414285615</v>
      </c>
      <c r="G1259" s="736">
        <f t="shared" si="114"/>
        <v>6249699.9908571327</v>
      </c>
      <c r="H1259" s="794">
        <f>+J1227*G1259+E1259</f>
        <v>1684318.0991411507</v>
      </c>
      <c r="I1259" s="795">
        <f>+J1228*G1259+E1259</f>
        <v>1684318.0991411507</v>
      </c>
      <c r="J1259" s="792">
        <f t="shared" si="116"/>
        <v>0</v>
      </c>
      <c r="K1259" s="792"/>
      <c r="L1259" s="812"/>
      <c r="M1259" s="792">
        <f t="shared" si="110"/>
        <v>0</v>
      </c>
      <c r="N1259" s="812"/>
      <c r="O1259" s="792">
        <f t="shared" si="111"/>
        <v>0</v>
      </c>
      <c r="P1259" s="792">
        <f t="shared" si="112"/>
        <v>0</v>
      </c>
    </row>
    <row r="1260" spans="3:16">
      <c r="C1260" s="788">
        <f>IF(D1226="","-",+C1259+1)</f>
        <v>2044</v>
      </c>
      <c r="D1260" s="736">
        <f t="shared" si="113"/>
        <v>5859093.7414285615</v>
      </c>
      <c r="E1260" s="789">
        <f t="shared" si="115"/>
        <v>781212.49885714287</v>
      </c>
      <c r="F1260" s="789">
        <f t="shared" si="109"/>
        <v>5077881.2425714191</v>
      </c>
      <c r="G1260" s="736">
        <f t="shared" si="114"/>
        <v>5468487.4919999903</v>
      </c>
      <c r="H1260" s="794">
        <f>+J1227*G1260+E1260</f>
        <v>1571429.8991056497</v>
      </c>
      <c r="I1260" s="795">
        <f>+J1228*G1260+E1260</f>
        <v>1571429.8991056497</v>
      </c>
      <c r="J1260" s="792">
        <f t="shared" si="116"/>
        <v>0</v>
      </c>
      <c r="K1260" s="792"/>
      <c r="L1260" s="812"/>
      <c r="M1260" s="792">
        <f t="shared" si="110"/>
        <v>0</v>
      </c>
      <c r="N1260" s="812"/>
      <c r="O1260" s="792">
        <f t="shared" si="111"/>
        <v>0</v>
      </c>
      <c r="P1260" s="792">
        <f t="shared" si="112"/>
        <v>0</v>
      </c>
    </row>
    <row r="1261" spans="3:16">
      <c r="C1261" s="788">
        <f>IF(D1226="","-",+C1260+1)</f>
        <v>2045</v>
      </c>
      <c r="D1261" s="736">
        <f t="shared" si="113"/>
        <v>5077881.2425714191</v>
      </c>
      <c r="E1261" s="789">
        <f t="shared" si="115"/>
        <v>781212.49885714287</v>
      </c>
      <c r="F1261" s="789">
        <f t="shared" si="109"/>
        <v>4296668.7437142767</v>
      </c>
      <c r="G1261" s="736">
        <f t="shared" si="114"/>
        <v>4687274.9931428479</v>
      </c>
      <c r="H1261" s="794">
        <f>+J1227*G1261+E1261</f>
        <v>1458541.6990701486</v>
      </c>
      <c r="I1261" s="795">
        <f>+J1228*G1261+E1261</f>
        <v>1458541.6990701486</v>
      </c>
      <c r="J1261" s="792">
        <f t="shared" si="116"/>
        <v>0</v>
      </c>
      <c r="K1261" s="792"/>
      <c r="L1261" s="812"/>
      <c r="M1261" s="792">
        <f t="shared" si="110"/>
        <v>0</v>
      </c>
      <c r="N1261" s="812"/>
      <c r="O1261" s="792">
        <f t="shared" si="111"/>
        <v>0</v>
      </c>
      <c r="P1261" s="792">
        <f t="shared" si="112"/>
        <v>0</v>
      </c>
    </row>
    <row r="1262" spans="3:16">
      <c r="C1262" s="788">
        <f>IF(D1226="","-",+C1261+1)</f>
        <v>2046</v>
      </c>
      <c r="D1262" s="736">
        <f t="shared" si="113"/>
        <v>4296668.7437142767</v>
      </c>
      <c r="E1262" s="789">
        <f t="shared" si="115"/>
        <v>781212.49885714287</v>
      </c>
      <c r="F1262" s="789">
        <f t="shared" si="109"/>
        <v>3515456.2448571338</v>
      </c>
      <c r="G1262" s="736">
        <f t="shared" si="114"/>
        <v>3906062.4942857055</v>
      </c>
      <c r="H1262" s="794">
        <f>+J1227*G1262+E1262</f>
        <v>1345653.4990346474</v>
      </c>
      <c r="I1262" s="795">
        <f>+J1228*G1262+E1262</f>
        <v>1345653.4990346474</v>
      </c>
      <c r="J1262" s="792">
        <f t="shared" si="116"/>
        <v>0</v>
      </c>
      <c r="K1262" s="792"/>
      <c r="L1262" s="812"/>
      <c r="M1262" s="792">
        <f t="shared" si="110"/>
        <v>0</v>
      </c>
      <c r="N1262" s="812"/>
      <c r="O1262" s="792">
        <f t="shared" si="111"/>
        <v>0</v>
      </c>
      <c r="P1262" s="792">
        <f t="shared" si="112"/>
        <v>0</v>
      </c>
    </row>
    <row r="1263" spans="3:16">
      <c r="C1263" s="788">
        <f>IF(D1226="","-",+C1262+1)</f>
        <v>2047</v>
      </c>
      <c r="D1263" s="736">
        <f t="shared" si="113"/>
        <v>3515456.2448571338</v>
      </c>
      <c r="E1263" s="789">
        <f t="shared" si="115"/>
        <v>781212.49885714287</v>
      </c>
      <c r="F1263" s="789">
        <f t="shared" si="109"/>
        <v>2734243.745999991</v>
      </c>
      <c r="G1263" s="736">
        <f t="shared" si="114"/>
        <v>3124849.9954285622</v>
      </c>
      <c r="H1263" s="794">
        <f>+J1227*G1263+E1263</f>
        <v>1232765.2989991463</v>
      </c>
      <c r="I1263" s="795">
        <f>+J1228*G1263+E1263</f>
        <v>1232765.2989991463</v>
      </c>
      <c r="J1263" s="792">
        <f t="shared" si="116"/>
        <v>0</v>
      </c>
      <c r="K1263" s="792"/>
      <c r="L1263" s="812"/>
      <c r="M1263" s="792">
        <f t="shared" si="110"/>
        <v>0</v>
      </c>
      <c r="N1263" s="812"/>
      <c r="O1263" s="792">
        <f t="shared" si="111"/>
        <v>0</v>
      </c>
      <c r="P1263" s="792">
        <f t="shared" si="112"/>
        <v>0</v>
      </c>
    </row>
    <row r="1264" spans="3:16">
      <c r="C1264" s="788">
        <f>IF(D1226="","-",+C1263+1)</f>
        <v>2048</v>
      </c>
      <c r="D1264" s="736">
        <f t="shared" si="113"/>
        <v>2734243.745999991</v>
      </c>
      <c r="E1264" s="789">
        <f t="shared" si="115"/>
        <v>781212.49885714287</v>
      </c>
      <c r="F1264" s="789">
        <f t="shared" si="109"/>
        <v>1953031.2471428481</v>
      </c>
      <c r="G1264" s="736">
        <f t="shared" si="114"/>
        <v>2343637.4965714198</v>
      </c>
      <c r="H1264" s="794">
        <f>+J1227*G1264+E1264</f>
        <v>1119877.0989636451</v>
      </c>
      <c r="I1264" s="795">
        <f>+J1228*G1264+E1264</f>
        <v>1119877.0989636451</v>
      </c>
      <c r="J1264" s="792">
        <f t="shared" si="116"/>
        <v>0</v>
      </c>
      <c r="K1264" s="792"/>
      <c r="L1264" s="812"/>
      <c r="M1264" s="792">
        <f t="shared" si="110"/>
        <v>0</v>
      </c>
      <c r="N1264" s="812"/>
      <c r="O1264" s="792">
        <f t="shared" si="111"/>
        <v>0</v>
      </c>
      <c r="P1264" s="792">
        <f t="shared" si="112"/>
        <v>0</v>
      </c>
    </row>
    <row r="1265" spans="3:16">
      <c r="C1265" s="788">
        <f>IF(D1226="","-",+C1264+1)</f>
        <v>2049</v>
      </c>
      <c r="D1265" s="736">
        <f t="shared" si="113"/>
        <v>1953031.2471428481</v>
      </c>
      <c r="E1265" s="789">
        <f t="shared" si="115"/>
        <v>781212.49885714287</v>
      </c>
      <c r="F1265" s="789">
        <f t="shared" si="109"/>
        <v>1171818.7482857052</v>
      </c>
      <c r="G1265" s="736">
        <f t="shared" si="114"/>
        <v>1562424.9977142767</v>
      </c>
      <c r="H1265" s="794">
        <f>+J1227*G1265+E1265</f>
        <v>1006988.8989281439</v>
      </c>
      <c r="I1265" s="795">
        <f>+J1228*G1265+E1265</f>
        <v>1006988.8989281439</v>
      </c>
      <c r="J1265" s="792">
        <f t="shared" si="116"/>
        <v>0</v>
      </c>
      <c r="K1265" s="792"/>
      <c r="L1265" s="812"/>
      <c r="M1265" s="792">
        <f t="shared" si="110"/>
        <v>0</v>
      </c>
      <c r="N1265" s="812"/>
      <c r="O1265" s="792">
        <f t="shared" si="111"/>
        <v>0</v>
      </c>
      <c r="P1265" s="792">
        <f t="shared" si="112"/>
        <v>0</v>
      </c>
    </row>
    <row r="1266" spans="3:16">
      <c r="C1266" s="788">
        <f>IF(D1226="","-",+C1265+1)</f>
        <v>2050</v>
      </c>
      <c r="D1266" s="736">
        <f t="shared" si="113"/>
        <v>1171818.7482857052</v>
      </c>
      <c r="E1266" s="789">
        <f t="shared" si="115"/>
        <v>781212.49885714287</v>
      </c>
      <c r="F1266" s="789">
        <f t="shared" si="109"/>
        <v>390606.24942856235</v>
      </c>
      <c r="G1266" s="736">
        <f t="shared" si="114"/>
        <v>781212.49885713379</v>
      </c>
      <c r="H1266" s="794">
        <f>+J1227*G1266+E1266</f>
        <v>894100.69889264274</v>
      </c>
      <c r="I1266" s="795">
        <f>+J1228*G1266+E1266</f>
        <v>894100.69889264274</v>
      </c>
      <c r="J1266" s="792">
        <f t="shared" si="116"/>
        <v>0</v>
      </c>
      <c r="K1266" s="792"/>
      <c r="L1266" s="812"/>
      <c r="M1266" s="792">
        <f t="shared" si="110"/>
        <v>0</v>
      </c>
      <c r="N1266" s="812"/>
      <c r="O1266" s="792">
        <f t="shared" si="111"/>
        <v>0</v>
      </c>
      <c r="P1266" s="792">
        <f t="shared" si="112"/>
        <v>0</v>
      </c>
    </row>
    <row r="1267" spans="3:16">
      <c r="C1267" s="788">
        <f>IF(D1226="","-",+C1266+1)</f>
        <v>2051</v>
      </c>
      <c r="D1267" s="736">
        <f t="shared" si="113"/>
        <v>390606.24942856235</v>
      </c>
      <c r="E1267" s="789">
        <f t="shared" si="115"/>
        <v>390606.24942856235</v>
      </c>
      <c r="F1267" s="789">
        <f t="shared" si="109"/>
        <v>0</v>
      </c>
      <c r="G1267" s="736">
        <f t="shared" si="114"/>
        <v>195303.12471428118</v>
      </c>
      <c r="H1267" s="794">
        <f>+J1227*G1267+E1267</f>
        <v>418828.29943743697</v>
      </c>
      <c r="I1267" s="795">
        <f>+J1228*G1267+E1267</f>
        <v>418828.29943743697</v>
      </c>
      <c r="J1267" s="792">
        <f t="shared" si="116"/>
        <v>0</v>
      </c>
      <c r="K1267" s="792"/>
      <c r="L1267" s="812"/>
      <c r="M1267" s="792">
        <f t="shared" si="110"/>
        <v>0</v>
      </c>
      <c r="N1267" s="812"/>
      <c r="O1267" s="792">
        <f t="shared" si="111"/>
        <v>0</v>
      </c>
      <c r="P1267" s="792">
        <f t="shared" si="112"/>
        <v>0</v>
      </c>
    </row>
    <row r="1268" spans="3:16">
      <c r="C1268" s="788">
        <f>IF(D1226="","-",+C1267+1)</f>
        <v>2052</v>
      </c>
      <c r="D1268" s="736">
        <f t="shared" si="113"/>
        <v>0</v>
      </c>
      <c r="E1268" s="789">
        <f t="shared" si="115"/>
        <v>0</v>
      </c>
      <c r="F1268" s="789">
        <f t="shared" si="109"/>
        <v>0</v>
      </c>
      <c r="G1268" s="736">
        <f t="shared" si="114"/>
        <v>0</v>
      </c>
      <c r="H1268" s="794">
        <f>+J1227*G1268+E1268</f>
        <v>0</v>
      </c>
      <c r="I1268" s="795">
        <f>+J1228*G1268+E1268</f>
        <v>0</v>
      </c>
      <c r="J1268" s="792">
        <f t="shared" si="116"/>
        <v>0</v>
      </c>
      <c r="K1268" s="792"/>
      <c r="L1268" s="812"/>
      <c r="M1268" s="792">
        <f t="shared" si="110"/>
        <v>0</v>
      </c>
      <c r="N1268" s="812"/>
      <c r="O1268" s="792">
        <f t="shared" si="111"/>
        <v>0</v>
      </c>
      <c r="P1268" s="792">
        <f t="shared" si="112"/>
        <v>0</v>
      </c>
    </row>
    <row r="1269" spans="3:16">
      <c r="C1269" s="788">
        <f>IF(D1226="","-",+C1268+1)</f>
        <v>2053</v>
      </c>
      <c r="D1269" s="736">
        <f t="shared" si="113"/>
        <v>0</v>
      </c>
      <c r="E1269" s="789">
        <f t="shared" si="115"/>
        <v>0</v>
      </c>
      <c r="F1269" s="789">
        <f t="shared" si="109"/>
        <v>0</v>
      </c>
      <c r="G1269" s="736">
        <f t="shared" si="114"/>
        <v>0</v>
      </c>
      <c r="H1269" s="794">
        <f>+J1227*G1269+E1269</f>
        <v>0</v>
      </c>
      <c r="I1269" s="795">
        <f>+J1228*G1269+E1269</f>
        <v>0</v>
      </c>
      <c r="J1269" s="792">
        <f t="shared" si="116"/>
        <v>0</v>
      </c>
      <c r="K1269" s="792"/>
      <c r="L1269" s="812"/>
      <c r="M1269" s="792">
        <f t="shared" si="110"/>
        <v>0</v>
      </c>
      <c r="N1269" s="812"/>
      <c r="O1269" s="792">
        <f t="shared" si="111"/>
        <v>0</v>
      </c>
      <c r="P1269" s="792">
        <f t="shared" si="112"/>
        <v>0</v>
      </c>
    </row>
    <row r="1270" spans="3:16">
      <c r="C1270" s="788">
        <f>IF(D1226="","-",+C1269+1)</f>
        <v>2054</v>
      </c>
      <c r="D1270" s="736">
        <f t="shared" si="113"/>
        <v>0</v>
      </c>
      <c r="E1270" s="789">
        <f t="shared" si="115"/>
        <v>0</v>
      </c>
      <c r="F1270" s="789">
        <f t="shared" si="109"/>
        <v>0</v>
      </c>
      <c r="G1270" s="736">
        <f t="shared" si="114"/>
        <v>0</v>
      </c>
      <c r="H1270" s="794">
        <f>+J1227*G1270+E1270</f>
        <v>0</v>
      </c>
      <c r="I1270" s="795">
        <f>+J1228*G1270+E1270</f>
        <v>0</v>
      </c>
      <c r="J1270" s="792">
        <f t="shared" si="116"/>
        <v>0</v>
      </c>
      <c r="K1270" s="792"/>
      <c r="L1270" s="812"/>
      <c r="M1270" s="792">
        <f t="shared" si="110"/>
        <v>0</v>
      </c>
      <c r="N1270" s="812"/>
      <c r="O1270" s="792">
        <f t="shared" si="111"/>
        <v>0</v>
      </c>
      <c r="P1270" s="792">
        <f t="shared" si="112"/>
        <v>0</v>
      </c>
    </row>
    <row r="1271" spans="3:16">
      <c r="C1271" s="788">
        <f>IF(D1226="","-",+C1270+1)</f>
        <v>2055</v>
      </c>
      <c r="D1271" s="736">
        <f t="shared" si="113"/>
        <v>0</v>
      </c>
      <c r="E1271" s="789">
        <f t="shared" si="115"/>
        <v>0</v>
      </c>
      <c r="F1271" s="789">
        <f t="shared" si="109"/>
        <v>0</v>
      </c>
      <c r="G1271" s="736">
        <f t="shared" si="114"/>
        <v>0</v>
      </c>
      <c r="H1271" s="794">
        <f>+J1227*G1271+E1271</f>
        <v>0</v>
      </c>
      <c r="I1271" s="795">
        <f>+J1228*G1271+E1271</f>
        <v>0</v>
      </c>
      <c r="J1271" s="792">
        <f t="shared" si="116"/>
        <v>0</v>
      </c>
      <c r="K1271" s="792"/>
      <c r="L1271" s="812"/>
      <c r="M1271" s="792">
        <f t="shared" si="110"/>
        <v>0</v>
      </c>
      <c r="N1271" s="812"/>
      <c r="O1271" s="792">
        <f t="shared" si="111"/>
        <v>0</v>
      </c>
      <c r="P1271" s="792">
        <f t="shared" si="112"/>
        <v>0</v>
      </c>
    </row>
    <row r="1272" spans="3:16">
      <c r="C1272" s="788">
        <f>IF(D1226="","-",+C1271+1)</f>
        <v>2056</v>
      </c>
      <c r="D1272" s="736">
        <f t="shared" si="113"/>
        <v>0</v>
      </c>
      <c r="E1272" s="789">
        <f t="shared" si="115"/>
        <v>0</v>
      </c>
      <c r="F1272" s="789">
        <f t="shared" si="109"/>
        <v>0</v>
      </c>
      <c r="G1272" s="736">
        <f t="shared" si="114"/>
        <v>0</v>
      </c>
      <c r="H1272" s="794">
        <f>+J1227*G1272+E1272</f>
        <v>0</v>
      </c>
      <c r="I1272" s="795">
        <f>+J1228*G1272+E1272</f>
        <v>0</v>
      </c>
      <c r="J1272" s="792">
        <f t="shared" si="116"/>
        <v>0</v>
      </c>
      <c r="K1272" s="792"/>
      <c r="L1272" s="812"/>
      <c r="M1272" s="792">
        <f t="shared" si="110"/>
        <v>0</v>
      </c>
      <c r="N1272" s="812"/>
      <c r="O1272" s="792">
        <f t="shared" si="111"/>
        <v>0</v>
      </c>
      <c r="P1272" s="792">
        <f t="shared" si="112"/>
        <v>0</v>
      </c>
    </row>
    <row r="1273" spans="3:16">
      <c r="C1273" s="788">
        <f>IF(D1226="","-",+C1272+1)</f>
        <v>2057</v>
      </c>
      <c r="D1273" s="736">
        <f t="shared" si="113"/>
        <v>0</v>
      </c>
      <c r="E1273" s="789">
        <f t="shared" si="115"/>
        <v>0</v>
      </c>
      <c r="F1273" s="789">
        <f t="shared" si="109"/>
        <v>0</v>
      </c>
      <c r="G1273" s="736">
        <f t="shared" si="114"/>
        <v>0</v>
      </c>
      <c r="H1273" s="794">
        <f>+J1227*G1273+E1273</f>
        <v>0</v>
      </c>
      <c r="I1273" s="795">
        <f>+J1228*G1273+E1273</f>
        <v>0</v>
      </c>
      <c r="J1273" s="792">
        <f t="shared" si="116"/>
        <v>0</v>
      </c>
      <c r="K1273" s="792"/>
      <c r="L1273" s="812"/>
      <c r="M1273" s="792">
        <f t="shared" si="110"/>
        <v>0</v>
      </c>
      <c r="N1273" s="812"/>
      <c r="O1273" s="792">
        <f t="shared" si="111"/>
        <v>0</v>
      </c>
      <c r="P1273" s="792">
        <f t="shared" si="112"/>
        <v>0</v>
      </c>
    </row>
    <row r="1274" spans="3:16">
      <c r="C1274" s="788">
        <f>IF(D1226="","-",+C1273+1)</f>
        <v>2058</v>
      </c>
      <c r="D1274" s="736">
        <f t="shared" si="113"/>
        <v>0</v>
      </c>
      <c r="E1274" s="789">
        <f t="shared" si="115"/>
        <v>0</v>
      </c>
      <c r="F1274" s="789">
        <f t="shared" si="109"/>
        <v>0</v>
      </c>
      <c r="G1274" s="736">
        <f t="shared" si="114"/>
        <v>0</v>
      </c>
      <c r="H1274" s="794">
        <f>+J1227*G1274+E1274</f>
        <v>0</v>
      </c>
      <c r="I1274" s="795">
        <f>+J1228*G1274+E1274</f>
        <v>0</v>
      </c>
      <c r="J1274" s="792">
        <f t="shared" si="116"/>
        <v>0</v>
      </c>
      <c r="K1274" s="792"/>
      <c r="L1274" s="812"/>
      <c r="M1274" s="792">
        <f t="shared" si="110"/>
        <v>0</v>
      </c>
      <c r="N1274" s="812"/>
      <c r="O1274" s="792">
        <f t="shared" si="111"/>
        <v>0</v>
      </c>
      <c r="P1274" s="792">
        <f t="shared" si="112"/>
        <v>0</v>
      </c>
    </row>
    <row r="1275" spans="3:16">
      <c r="C1275" s="788">
        <f>IF(D1226="","-",+C1274+1)</f>
        <v>2059</v>
      </c>
      <c r="D1275" s="736">
        <f t="shared" si="113"/>
        <v>0</v>
      </c>
      <c r="E1275" s="789">
        <f t="shared" si="115"/>
        <v>0</v>
      </c>
      <c r="F1275" s="789">
        <f t="shared" si="109"/>
        <v>0</v>
      </c>
      <c r="G1275" s="736">
        <f t="shared" si="114"/>
        <v>0</v>
      </c>
      <c r="H1275" s="794">
        <f>+J1227*G1275+E1275</f>
        <v>0</v>
      </c>
      <c r="I1275" s="795">
        <f>+J1228*G1275+E1275</f>
        <v>0</v>
      </c>
      <c r="J1275" s="792">
        <f t="shared" si="116"/>
        <v>0</v>
      </c>
      <c r="K1275" s="792"/>
      <c r="L1275" s="812"/>
      <c r="M1275" s="792">
        <f t="shared" si="110"/>
        <v>0</v>
      </c>
      <c r="N1275" s="812"/>
      <c r="O1275" s="792">
        <f t="shared" si="111"/>
        <v>0</v>
      </c>
      <c r="P1275" s="792">
        <f t="shared" si="112"/>
        <v>0</v>
      </c>
    </row>
    <row r="1276" spans="3:16">
      <c r="C1276" s="788">
        <f>IF(D1226="","-",+C1275+1)</f>
        <v>2060</v>
      </c>
      <c r="D1276" s="736">
        <f t="shared" si="113"/>
        <v>0</v>
      </c>
      <c r="E1276" s="789">
        <f t="shared" si="115"/>
        <v>0</v>
      </c>
      <c r="F1276" s="789">
        <f t="shared" si="109"/>
        <v>0</v>
      </c>
      <c r="G1276" s="736">
        <f t="shared" si="114"/>
        <v>0</v>
      </c>
      <c r="H1276" s="794">
        <f>+J1227*G1276+E1276</f>
        <v>0</v>
      </c>
      <c r="I1276" s="795">
        <f>+J1228*G1276+E1276</f>
        <v>0</v>
      </c>
      <c r="J1276" s="792">
        <f t="shared" si="116"/>
        <v>0</v>
      </c>
      <c r="K1276" s="792"/>
      <c r="L1276" s="812"/>
      <c r="M1276" s="792">
        <f t="shared" si="110"/>
        <v>0</v>
      </c>
      <c r="N1276" s="812"/>
      <c r="O1276" s="792">
        <f t="shared" si="111"/>
        <v>0</v>
      </c>
      <c r="P1276" s="792">
        <f t="shared" si="112"/>
        <v>0</v>
      </c>
    </row>
    <row r="1277" spans="3:16">
      <c r="C1277" s="788">
        <f>IF(D1226="","-",+C1276+1)</f>
        <v>2061</v>
      </c>
      <c r="D1277" s="736">
        <f t="shared" si="113"/>
        <v>0</v>
      </c>
      <c r="E1277" s="789">
        <f t="shared" si="115"/>
        <v>0</v>
      </c>
      <c r="F1277" s="789">
        <f t="shared" si="109"/>
        <v>0</v>
      </c>
      <c r="G1277" s="736">
        <f t="shared" si="114"/>
        <v>0</v>
      </c>
      <c r="H1277" s="794">
        <f>+J1227*G1277+E1277</f>
        <v>0</v>
      </c>
      <c r="I1277" s="795">
        <f>+J1228*G1277+E1277</f>
        <v>0</v>
      </c>
      <c r="J1277" s="792">
        <f t="shared" si="116"/>
        <v>0</v>
      </c>
      <c r="K1277" s="792"/>
      <c r="L1277" s="812"/>
      <c r="M1277" s="792">
        <f t="shared" si="110"/>
        <v>0</v>
      </c>
      <c r="N1277" s="812"/>
      <c r="O1277" s="792">
        <f t="shared" si="111"/>
        <v>0</v>
      </c>
      <c r="P1277" s="792">
        <f t="shared" si="112"/>
        <v>0</v>
      </c>
    </row>
    <row r="1278" spans="3:16">
      <c r="C1278" s="788">
        <f>IF(D1226="","-",+C1277+1)</f>
        <v>2062</v>
      </c>
      <c r="D1278" s="736">
        <f t="shared" si="113"/>
        <v>0</v>
      </c>
      <c r="E1278" s="789">
        <f t="shared" si="115"/>
        <v>0</v>
      </c>
      <c r="F1278" s="789">
        <f t="shared" si="109"/>
        <v>0</v>
      </c>
      <c r="G1278" s="736">
        <f t="shared" si="114"/>
        <v>0</v>
      </c>
      <c r="H1278" s="794">
        <f>+J1227*G1278+E1278</f>
        <v>0</v>
      </c>
      <c r="I1278" s="795">
        <f>+J1228*G1278+E1278</f>
        <v>0</v>
      </c>
      <c r="J1278" s="792">
        <f t="shared" si="116"/>
        <v>0</v>
      </c>
      <c r="K1278" s="792"/>
      <c r="L1278" s="812"/>
      <c r="M1278" s="792">
        <f t="shared" si="110"/>
        <v>0</v>
      </c>
      <c r="N1278" s="812"/>
      <c r="O1278" s="792">
        <f t="shared" si="111"/>
        <v>0</v>
      </c>
      <c r="P1278" s="792">
        <f t="shared" si="112"/>
        <v>0</v>
      </c>
    </row>
    <row r="1279" spans="3:16">
      <c r="C1279" s="788">
        <f>IF(D1226="","-",+C1278+1)</f>
        <v>2063</v>
      </c>
      <c r="D1279" s="736">
        <f t="shared" si="113"/>
        <v>0</v>
      </c>
      <c r="E1279" s="789">
        <f t="shared" si="115"/>
        <v>0</v>
      </c>
      <c r="F1279" s="789">
        <f t="shared" si="109"/>
        <v>0</v>
      </c>
      <c r="G1279" s="736">
        <f t="shared" si="114"/>
        <v>0</v>
      </c>
      <c r="H1279" s="794">
        <f>+J1227*G1279+E1279</f>
        <v>0</v>
      </c>
      <c r="I1279" s="795">
        <f>+J1228*G1279+E1279</f>
        <v>0</v>
      </c>
      <c r="J1279" s="792">
        <f t="shared" si="116"/>
        <v>0</v>
      </c>
      <c r="K1279" s="792"/>
      <c r="L1279" s="812"/>
      <c r="M1279" s="792">
        <f t="shared" si="110"/>
        <v>0</v>
      </c>
      <c r="N1279" s="812"/>
      <c r="O1279" s="792">
        <f t="shared" si="111"/>
        <v>0</v>
      </c>
      <c r="P1279" s="792">
        <f t="shared" si="112"/>
        <v>0</v>
      </c>
    </row>
    <row r="1280" spans="3:16">
      <c r="C1280" s="788">
        <f>IF(D1226="","-",+C1279+1)</f>
        <v>2064</v>
      </c>
      <c r="D1280" s="736">
        <f t="shared" si="113"/>
        <v>0</v>
      </c>
      <c r="E1280" s="789">
        <f t="shared" si="115"/>
        <v>0</v>
      </c>
      <c r="F1280" s="789">
        <f t="shared" si="109"/>
        <v>0</v>
      </c>
      <c r="G1280" s="736">
        <f t="shared" si="114"/>
        <v>0</v>
      </c>
      <c r="H1280" s="794">
        <f>+J1227*G1280+E1280</f>
        <v>0</v>
      </c>
      <c r="I1280" s="795">
        <f>+J1228*G1280+E1280</f>
        <v>0</v>
      </c>
      <c r="J1280" s="792">
        <f t="shared" si="116"/>
        <v>0</v>
      </c>
      <c r="K1280" s="792"/>
      <c r="L1280" s="812"/>
      <c r="M1280" s="792">
        <f t="shared" si="110"/>
        <v>0</v>
      </c>
      <c r="N1280" s="812"/>
      <c r="O1280" s="792">
        <f t="shared" si="111"/>
        <v>0</v>
      </c>
      <c r="P1280" s="792">
        <f t="shared" si="112"/>
        <v>0</v>
      </c>
    </row>
    <row r="1281" spans="3:16">
      <c r="C1281" s="788">
        <f>IF(D1226="","-",+C1280+1)</f>
        <v>2065</v>
      </c>
      <c r="D1281" s="736">
        <f t="shared" si="113"/>
        <v>0</v>
      </c>
      <c r="E1281" s="789">
        <f t="shared" si="115"/>
        <v>0</v>
      </c>
      <c r="F1281" s="789">
        <f t="shared" si="109"/>
        <v>0</v>
      </c>
      <c r="G1281" s="736">
        <f t="shared" si="114"/>
        <v>0</v>
      </c>
      <c r="H1281" s="794">
        <f>+J1227*G1281+E1281</f>
        <v>0</v>
      </c>
      <c r="I1281" s="795">
        <f>+J1228*G1281+E1281</f>
        <v>0</v>
      </c>
      <c r="J1281" s="792">
        <f t="shared" si="116"/>
        <v>0</v>
      </c>
      <c r="K1281" s="792"/>
      <c r="L1281" s="812"/>
      <c r="M1281" s="792">
        <f t="shared" si="110"/>
        <v>0</v>
      </c>
      <c r="N1281" s="812"/>
      <c r="O1281" s="792">
        <f t="shared" si="111"/>
        <v>0</v>
      </c>
      <c r="P1281" s="792">
        <f t="shared" si="112"/>
        <v>0</v>
      </c>
    </row>
    <row r="1282" spans="3:16">
      <c r="C1282" s="788">
        <f>IF(D1226="","-",+C1281+1)</f>
        <v>2066</v>
      </c>
      <c r="D1282" s="736">
        <f t="shared" si="113"/>
        <v>0</v>
      </c>
      <c r="E1282" s="789">
        <f t="shared" si="115"/>
        <v>0</v>
      </c>
      <c r="F1282" s="789">
        <f t="shared" si="109"/>
        <v>0</v>
      </c>
      <c r="G1282" s="736">
        <f t="shared" si="114"/>
        <v>0</v>
      </c>
      <c r="H1282" s="794">
        <f>+J1227*G1282+E1282</f>
        <v>0</v>
      </c>
      <c r="I1282" s="795">
        <f>+J1228*G1282+E1282</f>
        <v>0</v>
      </c>
      <c r="J1282" s="792">
        <f t="shared" si="116"/>
        <v>0</v>
      </c>
      <c r="K1282" s="792"/>
      <c r="L1282" s="812"/>
      <c r="M1282" s="792">
        <f t="shared" si="110"/>
        <v>0</v>
      </c>
      <c r="N1282" s="812"/>
      <c r="O1282" s="792">
        <f t="shared" si="111"/>
        <v>0</v>
      </c>
      <c r="P1282" s="792">
        <f t="shared" si="112"/>
        <v>0</v>
      </c>
    </row>
    <row r="1283" spans="3:16">
      <c r="C1283" s="788">
        <f>IF(D1226="","-",+C1282+1)</f>
        <v>2067</v>
      </c>
      <c r="D1283" s="736">
        <f t="shared" si="113"/>
        <v>0</v>
      </c>
      <c r="E1283" s="789">
        <f t="shared" si="115"/>
        <v>0</v>
      </c>
      <c r="F1283" s="789">
        <f t="shared" si="109"/>
        <v>0</v>
      </c>
      <c r="G1283" s="736">
        <f t="shared" si="114"/>
        <v>0</v>
      </c>
      <c r="H1283" s="794">
        <f>+J1227*G1283+E1283</f>
        <v>0</v>
      </c>
      <c r="I1283" s="795">
        <f>+J1228*G1283+E1283</f>
        <v>0</v>
      </c>
      <c r="J1283" s="792">
        <f t="shared" si="116"/>
        <v>0</v>
      </c>
      <c r="K1283" s="792"/>
      <c r="L1283" s="812"/>
      <c r="M1283" s="792">
        <f t="shared" si="110"/>
        <v>0</v>
      </c>
      <c r="N1283" s="812"/>
      <c r="O1283" s="792">
        <f t="shared" si="111"/>
        <v>0</v>
      </c>
      <c r="P1283" s="792">
        <f t="shared" si="112"/>
        <v>0</v>
      </c>
    </row>
    <row r="1284" spans="3:16">
      <c r="C1284" s="788">
        <f>IF(D1226="","-",+C1283+1)</f>
        <v>2068</v>
      </c>
      <c r="D1284" s="736">
        <f t="shared" si="113"/>
        <v>0</v>
      </c>
      <c r="E1284" s="789">
        <f t="shared" si="115"/>
        <v>0</v>
      </c>
      <c r="F1284" s="789">
        <f t="shared" si="109"/>
        <v>0</v>
      </c>
      <c r="G1284" s="736">
        <f t="shared" si="114"/>
        <v>0</v>
      </c>
      <c r="H1284" s="794">
        <f>+J1227*G1284+E1284</f>
        <v>0</v>
      </c>
      <c r="I1284" s="795">
        <f>+J1228*G1284+E1284</f>
        <v>0</v>
      </c>
      <c r="J1284" s="792">
        <f t="shared" si="116"/>
        <v>0</v>
      </c>
      <c r="K1284" s="792"/>
      <c r="L1284" s="812"/>
      <c r="M1284" s="792">
        <f t="shared" si="110"/>
        <v>0</v>
      </c>
      <c r="N1284" s="812"/>
      <c r="O1284" s="792">
        <f t="shared" si="111"/>
        <v>0</v>
      </c>
      <c r="P1284" s="792">
        <f t="shared" si="112"/>
        <v>0</v>
      </c>
    </row>
    <row r="1285" spans="3:16">
      <c r="C1285" s="788">
        <f>IF(D1226="","-",+C1284+1)</f>
        <v>2069</v>
      </c>
      <c r="D1285" s="736">
        <f t="shared" si="113"/>
        <v>0</v>
      </c>
      <c r="E1285" s="789">
        <f t="shared" si="115"/>
        <v>0</v>
      </c>
      <c r="F1285" s="789">
        <f t="shared" si="109"/>
        <v>0</v>
      </c>
      <c r="G1285" s="736">
        <f t="shared" si="114"/>
        <v>0</v>
      </c>
      <c r="H1285" s="794">
        <f>+J1227*G1285+E1285</f>
        <v>0</v>
      </c>
      <c r="I1285" s="795">
        <f>+J1228*G1285+E1285</f>
        <v>0</v>
      </c>
      <c r="J1285" s="792">
        <f t="shared" si="116"/>
        <v>0</v>
      </c>
      <c r="K1285" s="792"/>
      <c r="L1285" s="812"/>
      <c r="M1285" s="792">
        <f t="shared" si="110"/>
        <v>0</v>
      </c>
      <c r="N1285" s="812"/>
      <c r="O1285" s="792">
        <f t="shared" si="111"/>
        <v>0</v>
      </c>
      <c r="P1285" s="792">
        <f t="shared" si="112"/>
        <v>0</v>
      </c>
    </row>
    <row r="1286" spans="3:16">
      <c r="C1286" s="788">
        <f>IF(D1226="","-",+C1285+1)</f>
        <v>2070</v>
      </c>
      <c r="D1286" s="736">
        <f t="shared" si="113"/>
        <v>0</v>
      </c>
      <c r="E1286" s="789">
        <f t="shared" si="115"/>
        <v>0</v>
      </c>
      <c r="F1286" s="789">
        <f t="shared" si="109"/>
        <v>0</v>
      </c>
      <c r="G1286" s="736">
        <f t="shared" si="114"/>
        <v>0</v>
      </c>
      <c r="H1286" s="794">
        <f>+J1227*G1286+E1286</f>
        <v>0</v>
      </c>
      <c r="I1286" s="795">
        <f>+J1228*G1286+E1286</f>
        <v>0</v>
      </c>
      <c r="J1286" s="792">
        <f t="shared" si="116"/>
        <v>0</v>
      </c>
      <c r="K1286" s="792"/>
      <c r="L1286" s="812"/>
      <c r="M1286" s="792">
        <f t="shared" si="110"/>
        <v>0</v>
      </c>
      <c r="N1286" s="812"/>
      <c r="O1286" s="792">
        <f t="shared" si="111"/>
        <v>0</v>
      </c>
      <c r="P1286" s="792">
        <f t="shared" si="112"/>
        <v>0</v>
      </c>
    </row>
    <row r="1287" spans="3:16">
      <c r="C1287" s="788">
        <f>IF(D1226="","-",+C1286+1)</f>
        <v>2071</v>
      </c>
      <c r="D1287" s="736">
        <f t="shared" si="113"/>
        <v>0</v>
      </c>
      <c r="E1287" s="789">
        <f t="shared" si="115"/>
        <v>0</v>
      </c>
      <c r="F1287" s="789">
        <f t="shared" si="109"/>
        <v>0</v>
      </c>
      <c r="G1287" s="736">
        <f t="shared" si="114"/>
        <v>0</v>
      </c>
      <c r="H1287" s="794">
        <f>+J1227*G1287+E1287</f>
        <v>0</v>
      </c>
      <c r="I1287" s="795">
        <f>+J1228*G1287+E1287</f>
        <v>0</v>
      </c>
      <c r="J1287" s="792">
        <f t="shared" si="116"/>
        <v>0</v>
      </c>
      <c r="K1287" s="792"/>
      <c r="L1287" s="812"/>
      <c r="M1287" s="792">
        <f t="shared" si="110"/>
        <v>0</v>
      </c>
      <c r="N1287" s="812"/>
      <c r="O1287" s="792">
        <f t="shared" si="111"/>
        <v>0</v>
      </c>
      <c r="P1287" s="792">
        <f t="shared" si="112"/>
        <v>0</v>
      </c>
    </row>
    <row r="1288" spans="3:16">
      <c r="C1288" s="788">
        <f>IF(D1226="","-",+C1287+1)</f>
        <v>2072</v>
      </c>
      <c r="D1288" s="736">
        <f t="shared" si="113"/>
        <v>0</v>
      </c>
      <c r="E1288" s="789">
        <f t="shared" si="115"/>
        <v>0</v>
      </c>
      <c r="F1288" s="789">
        <f t="shared" si="109"/>
        <v>0</v>
      </c>
      <c r="G1288" s="736">
        <f t="shared" si="114"/>
        <v>0</v>
      </c>
      <c r="H1288" s="794">
        <f>+J1227*G1288+E1288</f>
        <v>0</v>
      </c>
      <c r="I1288" s="795">
        <f>+J1228*G1288+E1288</f>
        <v>0</v>
      </c>
      <c r="J1288" s="792">
        <f t="shared" si="116"/>
        <v>0</v>
      </c>
      <c r="K1288" s="792"/>
      <c r="L1288" s="812"/>
      <c r="M1288" s="792">
        <f t="shared" si="110"/>
        <v>0</v>
      </c>
      <c r="N1288" s="812"/>
      <c r="O1288" s="792">
        <f t="shared" si="111"/>
        <v>0</v>
      </c>
      <c r="P1288" s="792">
        <f t="shared" si="112"/>
        <v>0</v>
      </c>
    </row>
    <row r="1289" spans="3:16">
      <c r="C1289" s="788">
        <f>IF(D1226="","-",+C1288+1)</f>
        <v>2073</v>
      </c>
      <c r="D1289" s="736">
        <f t="shared" si="113"/>
        <v>0</v>
      </c>
      <c r="E1289" s="789">
        <f t="shared" si="115"/>
        <v>0</v>
      </c>
      <c r="F1289" s="789">
        <f t="shared" si="109"/>
        <v>0</v>
      </c>
      <c r="G1289" s="736">
        <f t="shared" si="114"/>
        <v>0</v>
      </c>
      <c r="H1289" s="794">
        <f>+J1227*G1289+E1289</f>
        <v>0</v>
      </c>
      <c r="I1289" s="795">
        <f>+J1228*G1289+E1289</f>
        <v>0</v>
      </c>
      <c r="J1289" s="792">
        <f t="shared" si="116"/>
        <v>0</v>
      </c>
      <c r="K1289" s="792"/>
      <c r="L1289" s="812"/>
      <c r="M1289" s="792">
        <f t="shared" si="110"/>
        <v>0</v>
      </c>
      <c r="N1289" s="812"/>
      <c r="O1289" s="792">
        <f t="shared" si="111"/>
        <v>0</v>
      </c>
      <c r="P1289" s="792">
        <f t="shared" si="112"/>
        <v>0</v>
      </c>
    </row>
    <row r="1290" spans="3:16">
      <c r="C1290" s="788">
        <f>IF(D1226="","-",+C1289+1)</f>
        <v>2074</v>
      </c>
      <c r="D1290" s="736">
        <f t="shared" si="113"/>
        <v>0</v>
      </c>
      <c r="E1290" s="789">
        <f t="shared" si="115"/>
        <v>0</v>
      </c>
      <c r="F1290" s="789">
        <f t="shared" si="109"/>
        <v>0</v>
      </c>
      <c r="G1290" s="736">
        <f t="shared" si="114"/>
        <v>0</v>
      </c>
      <c r="H1290" s="794">
        <f>+J1227*G1290+E1290</f>
        <v>0</v>
      </c>
      <c r="I1290" s="795">
        <f>+J1228*G1290+E1290</f>
        <v>0</v>
      </c>
      <c r="J1290" s="792">
        <f t="shared" si="116"/>
        <v>0</v>
      </c>
      <c r="K1290" s="792"/>
      <c r="L1290" s="812"/>
      <c r="M1290" s="792">
        <f t="shared" si="110"/>
        <v>0</v>
      </c>
      <c r="N1290" s="812"/>
      <c r="O1290" s="792">
        <f t="shared" si="111"/>
        <v>0</v>
      </c>
      <c r="P1290" s="792">
        <f t="shared" si="112"/>
        <v>0</v>
      </c>
    </row>
    <row r="1291" spans="3:16" ht="13.5" thickBot="1">
      <c r="C1291" s="798">
        <f>IF(D1226="","-",+C1290+1)</f>
        <v>2075</v>
      </c>
      <c r="D1291" s="799">
        <f t="shared" si="113"/>
        <v>0</v>
      </c>
      <c r="E1291" s="800">
        <f>IF(D1291&gt;$J$1055,$J$1055,D1291)</f>
        <v>0</v>
      </c>
      <c r="F1291" s="1322">
        <f t="shared" si="109"/>
        <v>0</v>
      </c>
      <c r="G1291" s="799">
        <f t="shared" si="114"/>
        <v>0</v>
      </c>
      <c r="H1291" s="801">
        <f>+J1227*G1291+E1291</f>
        <v>0</v>
      </c>
      <c r="I1291" s="801">
        <f>+J1228*G1291+E1291</f>
        <v>0</v>
      </c>
      <c r="J1291" s="802">
        <f t="shared" si="116"/>
        <v>0</v>
      </c>
      <c r="K1291" s="792"/>
      <c r="L1291" s="813"/>
      <c r="M1291" s="802">
        <f t="shared" si="110"/>
        <v>0</v>
      </c>
      <c r="N1291" s="813"/>
      <c r="O1291" s="802">
        <f t="shared" si="111"/>
        <v>0</v>
      </c>
      <c r="P1291" s="802">
        <f t="shared" si="112"/>
        <v>0</v>
      </c>
    </row>
    <row r="1292" spans="3:16">
      <c r="C1292" s="736" t="s">
        <v>83</v>
      </c>
      <c r="D1292" s="730"/>
      <c r="E1292" s="730">
        <f>SUM(E1232:E1291)</f>
        <v>27342437.460000005</v>
      </c>
      <c r="F1292" s="730"/>
      <c r="G1292" s="730"/>
      <c r="H1292" s="730">
        <f>SUM(H1232:H1291)</f>
        <v>98462003.482365668</v>
      </c>
      <c r="I1292" s="730">
        <f>SUM(I1232:I1291)</f>
        <v>98462003.482365668</v>
      </c>
      <c r="J1292" s="730">
        <f>SUM(J1232:J1291)</f>
        <v>0</v>
      </c>
      <c r="K1292" s="730"/>
      <c r="L1292" s="730"/>
      <c r="M1292" s="730"/>
      <c r="N1292" s="730"/>
      <c r="O1292" s="730"/>
    </row>
    <row r="1293" spans="3:16">
      <c r="D1293" s="538"/>
      <c r="E1293" s="313"/>
      <c r="F1293" s="313"/>
      <c r="G1293" s="313"/>
      <c r="H1293" s="313"/>
      <c r="I1293" s="708"/>
      <c r="J1293" s="708"/>
      <c r="K1293" s="730"/>
      <c r="L1293" s="708"/>
      <c r="M1293" s="708"/>
      <c r="N1293" s="708"/>
      <c r="O1293" s="708"/>
    </row>
    <row r="1294" spans="3:16">
      <c r="C1294" s="313" t="s">
        <v>13</v>
      </c>
      <c r="D1294" s="538"/>
      <c r="E1294" s="313"/>
      <c r="F1294" s="313"/>
      <c r="G1294" s="313"/>
      <c r="H1294" s="313"/>
      <c r="I1294" s="708"/>
      <c r="J1294" s="708"/>
      <c r="K1294" s="730"/>
      <c r="L1294" s="708"/>
      <c r="M1294" s="708"/>
      <c r="N1294" s="708"/>
      <c r="O1294" s="708"/>
    </row>
    <row r="1295" spans="3:16">
      <c r="C1295" s="313"/>
      <c r="D1295" s="538"/>
      <c r="E1295" s="313"/>
      <c r="F1295" s="313"/>
      <c r="G1295" s="313"/>
      <c r="H1295" s="313"/>
      <c r="I1295" s="708"/>
      <c r="J1295" s="708"/>
      <c r="K1295" s="730"/>
      <c r="L1295" s="708"/>
      <c r="M1295" s="708"/>
      <c r="N1295" s="708"/>
      <c r="O1295" s="708"/>
    </row>
    <row r="1296" spans="3:16">
      <c r="C1296" s="749" t="s">
        <v>14</v>
      </c>
      <c r="D1296" s="736"/>
      <c r="E1296" s="736"/>
      <c r="F1296" s="736"/>
      <c r="G1296" s="736"/>
      <c r="H1296" s="730"/>
      <c r="I1296" s="730"/>
      <c r="J1296" s="804"/>
      <c r="K1296" s="804"/>
      <c r="L1296" s="804"/>
      <c r="M1296" s="804"/>
      <c r="N1296" s="804"/>
      <c r="O1296" s="804"/>
    </row>
    <row r="1297" spans="1:17">
      <c r="C1297" s="735" t="s">
        <v>263</v>
      </c>
      <c r="D1297" s="736"/>
      <c r="E1297" s="736"/>
      <c r="F1297" s="736"/>
      <c r="G1297" s="736"/>
      <c r="H1297" s="730"/>
      <c r="I1297" s="730"/>
      <c r="J1297" s="804"/>
      <c r="K1297" s="804"/>
      <c r="L1297" s="804"/>
      <c r="M1297" s="804"/>
      <c r="N1297" s="804"/>
      <c r="O1297" s="804"/>
    </row>
    <row r="1298" spans="1:17">
      <c r="C1298" s="735" t="s">
        <v>84</v>
      </c>
      <c r="D1298" s="736"/>
      <c r="E1298" s="736"/>
      <c r="F1298" s="736"/>
      <c r="G1298" s="736"/>
      <c r="H1298" s="730"/>
      <c r="I1298" s="730"/>
      <c r="J1298" s="804"/>
      <c r="K1298" s="804"/>
      <c r="L1298" s="804"/>
      <c r="M1298" s="804"/>
      <c r="N1298" s="804"/>
      <c r="O1298" s="804"/>
    </row>
    <row r="1300" spans="1:17" ht="20.25">
      <c r="A1300" s="737" t="str">
        <f>""&amp;A1224&amp;" Worksheet K -  ATRR TRUE-UP Calculation for PJM Projects Charged to Benefiting Zones"</f>
        <v xml:space="preserve"> Worksheet K -  ATRR TRUE-UP Calculation for PJM Projects Charged to Benefiting Zones</v>
      </c>
      <c r="B1300" s="347"/>
      <c r="C1300" s="725"/>
      <c r="D1300" s="538"/>
      <c r="E1300" s="313"/>
      <c r="F1300" s="707"/>
      <c r="G1300" s="707"/>
      <c r="H1300" s="313"/>
      <c r="I1300" s="708"/>
      <c r="L1300" s="564"/>
      <c r="M1300" s="564"/>
      <c r="N1300" s="564"/>
      <c r="O1300" s="653" t="str">
        <f>"Page "&amp;SUM(Q$8:Q1300)&amp;" of "</f>
        <v xml:space="preserve">Page 16 of </v>
      </c>
      <c r="P1300" s="654">
        <f>COUNT(Q$8:Q$57703)</f>
        <v>22</v>
      </c>
      <c r="Q1300" s="655">
        <v>1</v>
      </c>
    </row>
    <row r="1301" spans="1:17">
      <c r="B1301" s="347"/>
      <c r="C1301" s="313"/>
      <c r="D1301" s="538"/>
      <c r="E1301" s="313"/>
      <c r="F1301" s="313"/>
      <c r="G1301" s="313"/>
      <c r="H1301" s="313"/>
      <c r="I1301" s="708"/>
      <c r="J1301" s="313"/>
      <c r="K1301" s="426"/>
    </row>
    <row r="1302" spans="1:17" ht="18">
      <c r="B1302" s="657" t="s">
        <v>466</v>
      </c>
      <c r="C1302" s="739" t="s">
        <v>85</v>
      </c>
      <c r="D1302" s="538"/>
      <c r="E1302" s="313"/>
      <c r="F1302" s="313"/>
      <c r="G1302" s="313"/>
      <c r="H1302" s="313"/>
      <c r="I1302" s="708"/>
      <c r="J1302" s="708"/>
      <c r="K1302" s="730"/>
      <c r="L1302" s="708"/>
      <c r="M1302" s="708"/>
      <c r="N1302" s="708"/>
      <c r="O1302" s="708"/>
    </row>
    <row r="1303" spans="1:17" ht="18.75">
      <c r="B1303" s="657"/>
      <c r="C1303" s="656"/>
      <c r="D1303" s="538"/>
      <c r="E1303" s="313"/>
      <c r="F1303" s="313"/>
      <c r="G1303" s="313"/>
      <c r="H1303" s="313"/>
      <c r="I1303" s="708"/>
      <c r="J1303" s="708"/>
      <c r="K1303" s="730"/>
      <c r="L1303" s="708"/>
      <c r="M1303" s="708"/>
      <c r="N1303" s="708"/>
      <c r="O1303" s="708"/>
    </row>
    <row r="1304" spans="1:17" ht="18.75">
      <c r="B1304" s="657"/>
      <c r="C1304" s="656" t="s">
        <v>86</v>
      </c>
      <c r="D1304" s="538"/>
      <c r="E1304" s="313"/>
      <c r="F1304" s="313"/>
      <c r="G1304" s="313"/>
      <c r="H1304" s="313"/>
      <c r="I1304" s="708"/>
      <c r="J1304" s="708"/>
      <c r="K1304" s="730"/>
      <c r="L1304" s="708"/>
      <c r="M1304" s="708"/>
      <c r="N1304" s="708"/>
      <c r="O1304" s="708"/>
    </row>
    <row r="1305" spans="1:17" ht="15.75" thickBot="1">
      <c r="C1305" s="239"/>
      <c r="D1305" s="538"/>
      <c r="E1305" s="313"/>
      <c r="F1305" s="313"/>
      <c r="G1305" s="313"/>
      <c r="H1305" s="313"/>
      <c r="I1305" s="708"/>
      <c r="J1305" s="708"/>
      <c r="K1305" s="730"/>
      <c r="L1305" s="708"/>
      <c r="M1305" s="708"/>
      <c r="N1305" s="708"/>
      <c r="O1305" s="708"/>
    </row>
    <row r="1306" spans="1:17" ht="15.75">
      <c r="C1306" s="659" t="s">
        <v>87</v>
      </c>
      <c r="D1306" s="538"/>
      <c r="E1306" s="313"/>
      <c r="F1306" s="313"/>
      <c r="G1306" s="313"/>
      <c r="H1306" s="806"/>
      <c r="I1306" s="313" t="s">
        <v>66</v>
      </c>
      <c r="J1306" s="313"/>
      <c r="K1306" s="426"/>
      <c r="L1306" s="835">
        <f>+J1312</f>
        <v>2023</v>
      </c>
      <c r="M1306" s="816" t="s">
        <v>45</v>
      </c>
      <c r="N1306" s="816" t="s">
        <v>46</v>
      </c>
      <c r="O1306" s="817" t="s">
        <v>47</v>
      </c>
    </row>
    <row r="1307" spans="1:17" ht="15.75">
      <c r="C1307" s="659"/>
      <c r="D1307" s="538"/>
      <c r="E1307" s="313"/>
      <c r="F1307" s="313"/>
      <c r="H1307" s="313"/>
      <c r="I1307" s="744"/>
      <c r="J1307" s="744"/>
      <c r="K1307" s="745"/>
      <c r="L1307" s="836" t="s">
        <v>235</v>
      </c>
      <c r="M1307" s="837">
        <f>VLOOKUP(J1312,C1319:P1378,10)</f>
        <v>909124.16314270871</v>
      </c>
      <c r="N1307" s="837">
        <f>VLOOKUP(J1312,C1319:P1378,12)</f>
        <v>909124.16314270871</v>
      </c>
      <c r="O1307" s="838">
        <f>+N1307-M1307</f>
        <v>0</v>
      </c>
    </row>
    <row r="1308" spans="1:17" ht="12.95" customHeight="1">
      <c r="C1308" s="749" t="s">
        <v>88</v>
      </c>
      <c r="D1308" s="1537" t="s">
        <v>824</v>
      </c>
      <c r="E1308" s="1537"/>
      <c r="F1308" s="1537"/>
      <c r="G1308" s="1537"/>
      <c r="H1308" s="1537"/>
      <c r="I1308" s="1537"/>
      <c r="J1308" s="708"/>
      <c r="K1308" s="730"/>
      <c r="L1308" s="836" t="s">
        <v>236</v>
      </c>
      <c r="M1308" s="839">
        <f>VLOOKUP(J1312,C1319:P1378,6)</f>
        <v>870440.42072424223</v>
      </c>
      <c r="N1308" s="839">
        <f>VLOOKUP(J1312,C1319:P1378,7)</f>
        <v>870440.42072424223</v>
      </c>
      <c r="O1308" s="840">
        <f>+N1308-M1308</f>
        <v>0</v>
      </c>
    </row>
    <row r="1309" spans="1:17" ht="13.5" thickBot="1">
      <c r="C1309" s="753"/>
      <c r="D1309" s="1537"/>
      <c r="E1309" s="1537"/>
      <c r="F1309" s="1537"/>
      <c r="G1309" s="1537"/>
      <c r="H1309" s="1537"/>
      <c r="I1309" s="1537"/>
      <c r="J1309" s="708"/>
      <c r="K1309" s="730"/>
      <c r="L1309" s="772" t="s">
        <v>237</v>
      </c>
      <c r="M1309" s="841">
        <f>+M1308-M1307</f>
        <v>-38683.742418466485</v>
      </c>
      <c r="N1309" s="841">
        <f>+N1308-N1307</f>
        <v>-38683.742418466485</v>
      </c>
      <c r="O1309" s="842">
        <f>+O1308-O1307</f>
        <v>0</v>
      </c>
    </row>
    <row r="1310" spans="1:17" ht="13.5" thickBot="1">
      <c r="C1310" s="756"/>
      <c r="D1310" s="757"/>
      <c r="E1310" s="755"/>
      <c r="F1310" s="755"/>
      <c r="G1310" s="755"/>
      <c r="H1310" s="755"/>
      <c r="I1310" s="755"/>
      <c r="J1310" s="755"/>
      <c r="K1310" s="758"/>
      <c r="L1310" s="755"/>
      <c r="M1310" s="755"/>
      <c r="N1310" s="755"/>
      <c r="O1310" s="755"/>
      <c r="P1310" s="347"/>
    </row>
    <row r="1311" spans="1:17" ht="13.5" thickBot="1">
      <c r="C1311" s="759" t="s">
        <v>89</v>
      </c>
      <c r="D1311" s="760"/>
      <c r="E1311" s="760"/>
      <c r="F1311" s="760"/>
      <c r="G1311" s="760"/>
      <c r="H1311" s="760"/>
      <c r="I1311" s="760"/>
      <c r="J1311" s="760"/>
      <c r="K1311" s="762"/>
      <c r="P1311" s="763"/>
    </row>
    <row r="1312" spans="1:17" ht="15">
      <c r="C1312" s="764" t="s">
        <v>67</v>
      </c>
      <c r="D1312" s="808">
        <v>6215397.6500000004</v>
      </c>
      <c r="E1312" s="725" t="s">
        <v>68</v>
      </c>
      <c r="H1312" s="765"/>
      <c r="I1312" s="765"/>
      <c r="J1312" s="766">
        <f>$J$93</f>
        <v>2023</v>
      </c>
      <c r="K1312" s="554"/>
      <c r="L1312" s="1536" t="s">
        <v>69</v>
      </c>
      <c r="M1312" s="1536"/>
      <c r="N1312" s="1536"/>
      <c r="O1312" s="1536"/>
      <c r="P1312" s="426"/>
    </row>
    <row r="1313" spans="2:16">
      <c r="C1313" s="764" t="s">
        <v>70</v>
      </c>
      <c r="D1313" s="809">
        <v>2015</v>
      </c>
      <c r="E1313" s="764" t="s">
        <v>71</v>
      </c>
      <c r="F1313" s="765"/>
      <c r="G1313" s="765"/>
      <c r="I1313" s="172"/>
      <c r="J1313" s="810">
        <f>IF(H1306="",0,$F$17)</f>
        <v>0</v>
      </c>
      <c r="K1313" s="767"/>
      <c r="L1313" s="730" t="s">
        <v>277</v>
      </c>
      <c r="P1313" s="426"/>
    </row>
    <row r="1314" spans="2:16">
      <c r="C1314" s="764" t="s">
        <v>72</v>
      </c>
      <c r="D1314" s="808">
        <v>6</v>
      </c>
      <c r="E1314" s="764" t="s">
        <v>73</v>
      </c>
      <c r="F1314" s="765"/>
      <c r="G1314" s="765"/>
      <c r="I1314" s="172"/>
      <c r="J1314" s="768">
        <f>$F$70</f>
        <v>0.14450383244078713</v>
      </c>
      <c r="K1314" s="769"/>
      <c r="L1314" s="313" t="str">
        <f>"          INPUT TRUE-UP ARR (WITH &amp; WITHOUT INCENTIVES) FROM EACH PRIOR YEAR"</f>
        <v xml:space="preserve">          INPUT TRUE-UP ARR (WITH &amp; WITHOUT INCENTIVES) FROM EACH PRIOR YEAR</v>
      </c>
      <c r="P1314" s="426"/>
    </row>
    <row r="1315" spans="2:16">
      <c r="C1315" s="764" t="s">
        <v>74</v>
      </c>
      <c r="D1315" s="770">
        <f>H$79</f>
        <v>35</v>
      </c>
      <c r="E1315" s="764" t="s">
        <v>75</v>
      </c>
      <c r="F1315" s="765"/>
      <c r="G1315" s="765"/>
      <c r="I1315" s="172"/>
      <c r="J1315" s="768">
        <f>IF(H1306="",+J1314,$F$69)</f>
        <v>0.14450383244078713</v>
      </c>
      <c r="K1315" s="771"/>
      <c r="L1315" s="313" t="s">
        <v>157</v>
      </c>
      <c r="M1315" s="771"/>
      <c r="N1315" s="771"/>
      <c r="O1315" s="771"/>
      <c r="P1315" s="426"/>
    </row>
    <row r="1316" spans="2:16" ht="13.5" thickBot="1">
      <c r="C1316" s="764" t="s">
        <v>76</v>
      </c>
      <c r="D1316" s="807" t="s">
        <v>808</v>
      </c>
      <c r="E1316" s="772" t="s">
        <v>77</v>
      </c>
      <c r="F1316" s="773"/>
      <c r="G1316" s="773"/>
      <c r="H1316" s="774"/>
      <c r="I1316" s="774"/>
      <c r="J1316" s="752">
        <f>IF(D1312=0,0,D1312/D1315)</f>
        <v>177582.79</v>
      </c>
      <c r="K1316" s="730"/>
      <c r="L1316" s="730" t="s">
        <v>158</v>
      </c>
      <c r="M1316" s="730"/>
      <c r="N1316" s="730"/>
      <c r="O1316" s="730"/>
      <c r="P1316" s="426"/>
    </row>
    <row r="1317" spans="2:16" ht="38.25">
      <c r="B1317" s="845"/>
      <c r="C1317" s="775" t="s">
        <v>67</v>
      </c>
      <c r="D1317" s="776" t="s">
        <v>78</v>
      </c>
      <c r="E1317" s="777" t="s">
        <v>79</v>
      </c>
      <c r="F1317" s="776" t="s">
        <v>80</v>
      </c>
      <c r="G1317" s="776" t="s">
        <v>238</v>
      </c>
      <c r="H1317" s="777" t="s">
        <v>151</v>
      </c>
      <c r="I1317" s="778" t="s">
        <v>151</v>
      </c>
      <c r="J1317" s="775" t="s">
        <v>90</v>
      </c>
      <c r="K1317" s="779"/>
      <c r="L1317" s="777" t="s">
        <v>153</v>
      </c>
      <c r="M1317" s="777" t="s">
        <v>159</v>
      </c>
      <c r="N1317" s="777" t="s">
        <v>153</v>
      </c>
      <c r="O1317" s="777" t="s">
        <v>161</v>
      </c>
      <c r="P1317" s="777" t="s">
        <v>81</v>
      </c>
    </row>
    <row r="1318" spans="2:16" ht="13.5" thickBot="1">
      <c r="C1318" s="781" t="s">
        <v>469</v>
      </c>
      <c r="D1318" s="782" t="s">
        <v>470</v>
      </c>
      <c r="E1318" s="781" t="s">
        <v>363</v>
      </c>
      <c r="F1318" s="782" t="s">
        <v>470</v>
      </c>
      <c r="G1318" s="782" t="s">
        <v>470</v>
      </c>
      <c r="H1318" s="783" t="s">
        <v>93</v>
      </c>
      <c r="I1318" s="784" t="s">
        <v>95</v>
      </c>
      <c r="J1318" s="785" t="s">
        <v>15</v>
      </c>
      <c r="K1318" s="786"/>
      <c r="L1318" s="783" t="s">
        <v>82</v>
      </c>
      <c r="M1318" s="783" t="s">
        <v>82</v>
      </c>
      <c r="N1318" s="783" t="s">
        <v>255</v>
      </c>
      <c r="O1318" s="783" t="s">
        <v>255</v>
      </c>
      <c r="P1318" s="783" t="s">
        <v>255</v>
      </c>
    </row>
    <row r="1319" spans="2:16">
      <c r="C1319" s="788">
        <f>IF(D1313= "","-",D1313)</f>
        <v>2015</v>
      </c>
      <c r="D1319" s="736">
        <f>+D1312</f>
        <v>6215397.6500000004</v>
      </c>
      <c r="E1319" s="794">
        <f>+J1316/12*(12-D1314)</f>
        <v>88791.395000000004</v>
      </c>
      <c r="F1319" s="843">
        <f t="shared" ref="F1319:F1378" si="117">+D1319-E1319</f>
        <v>6126606.2550000008</v>
      </c>
      <c r="G1319" s="736">
        <f>+(D1319+F1319)/2</f>
        <v>6171001.9525000006</v>
      </c>
      <c r="H1319" s="790">
        <f>+J1314*G1319+E1319</f>
        <v>980524.8271358303</v>
      </c>
      <c r="I1319" s="791">
        <f>+J1315*G1319+E1319</f>
        <v>980524.8271358303</v>
      </c>
      <c r="J1319" s="792">
        <f>+I1319-H1319</f>
        <v>0</v>
      </c>
      <c r="K1319" s="792"/>
      <c r="L1319" s="811">
        <v>643594</v>
      </c>
      <c r="M1319" s="844">
        <f t="shared" ref="M1319:M1378" si="118">IF(L1319&lt;&gt;0,+H1319-L1319,0)</f>
        <v>336930.8271358303</v>
      </c>
      <c r="N1319" s="811">
        <v>643594</v>
      </c>
      <c r="O1319" s="844">
        <f t="shared" ref="O1319:O1378" si="119">IF(N1319&lt;&gt;0,+I1319-N1319,0)</f>
        <v>336930.8271358303</v>
      </c>
      <c r="P1319" s="844">
        <f t="shared" ref="P1319:P1378" si="120">+O1319-M1319</f>
        <v>0</v>
      </c>
    </row>
    <row r="1320" spans="2:16">
      <c r="C1320" s="788">
        <f>IF(D1313="","-",+C1319+1)</f>
        <v>2016</v>
      </c>
      <c r="D1320" s="736">
        <f t="shared" ref="D1320:D1378" si="121">F1319</f>
        <v>6126606.2550000008</v>
      </c>
      <c r="E1320" s="789">
        <f>IF(D1320&gt;$J$1316,$J$1316,D1320)</f>
        <v>177582.79</v>
      </c>
      <c r="F1320" s="789">
        <f t="shared" si="117"/>
        <v>5949023.4650000008</v>
      </c>
      <c r="G1320" s="736">
        <f t="shared" ref="G1320:G1378" si="122">+(D1320+F1320)/2</f>
        <v>6037814.8600000013</v>
      </c>
      <c r="H1320" s="794">
        <f>+J1314*G1320+E1320</f>
        <v>1050070.1768379346</v>
      </c>
      <c r="I1320" s="795">
        <f>+J1315*G1320+E1320</f>
        <v>1050070.1768379346</v>
      </c>
      <c r="J1320" s="792">
        <f>+I1320-H1320</f>
        <v>0</v>
      </c>
      <c r="K1320" s="792"/>
      <c r="L1320" s="812">
        <v>866696</v>
      </c>
      <c r="M1320" s="792">
        <f t="shared" si="118"/>
        <v>183374.17683793465</v>
      </c>
      <c r="N1320" s="812">
        <v>866696</v>
      </c>
      <c r="O1320" s="792">
        <f t="shared" si="119"/>
        <v>183374.17683793465</v>
      </c>
      <c r="P1320" s="792">
        <f t="shared" si="120"/>
        <v>0</v>
      </c>
    </row>
    <row r="1321" spans="2:16">
      <c r="C1321" s="788">
        <f>IF(D1313="","-",+C1320+1)</f>
        <v>2017</v>
      </c>
      <c r="D1321" s="736">
        <f t="shared" si="121"/>
        <v>5949023.4650000008</v>
      </c>
      <c r="E1321" s="789">
        <f t="shared" ref="E1321:E1378" si="123">IF(D1321&gt;$J$1316,$J$1316,D1321)</f>
        <v>177582.79</v>
      </c>
      <c r="F1321" s="789">
        <f t="shared" si="117"/>
        <v>5771440.6750000007</v>
      </c>
      <c r="G1321" s="736">
        <f t="shared" si="122"/>
        <v>5860232.0700000003</v>
      </c>
      <c r="H1321" s="794">
        <f>+J1314*G1321+E1321</f>
        <v>1024408.7831074072</v>
      </c>
      <c r="I1321" s="795">
        <f>+J1315*G1321+E1321</f>
        <v>1024408.7831074072</v>
      </c>
      <c r="J1321" s="792">
        <f t="shared" ref="J1321:J1378" si="124">+I1321-H1321</f>
        <v>0</v>
      </c>
      <c r="K1321" s="792"/>
      <c r="L1321" s="812">
        <v>1077982</v>
      </c>
      <c r="M1321" s="792">
        <f t="shared" si="118"/>
        <v>-53573.216892592842</v>
      </c>
      <c r="N1321" s="812">
        <v>1077982</v>
      </c>
      <c r="O1321" s="792">
        <f t="shared" si="119"/>
        <v>-53573.216892592842</v>
      </c>
      <c r="P1321" s="792">
        <f t="shared" si="120"/>
        <v>0</v>
      </c>
    </row>
    <row r="1322" spans="2:16">
      <c r="C1322" s="788">
        <f>IF(D1313="","-",+C1321+1)</f>
        <v>2018</v>
      </c>
      <c r="D1322" s="1402">
        <f t="shared" si="121"/>
        <v>5771440.6750000007</v>
      </c>
      <c r="E1322" s="789">
        <f t="shared" si="123"/>
        <v>177582.79</v>
      </c>
      <c r="F1322" s="789">
        <f t="shared" si="117"/>
        <v>5593857.8850000007</v>
      </c>
      <c r="G1322" s="736">
        <f t="shared" si="122"/>
        <v>5682649.2800000012</v>
      </c>
      <c r="H1322" s="794">
        <f>+J1314*G1322+E1322</f>
        <v>998747.38937687979</v>
      </c>
      <c r="I1322" s="795">
        <f>+J1315*G1322+E1322</f>
        <v>998747.38937687979</v>
      </c>
      <c r="J1322" s="792">
        <f t="shared" si="124"/>
        <v>0</v>
      </c>
      <c r="K1322" s="792"/>
      <c r="L1322" s="812">
        <v>958607</v>
      </c>
      <c r="M1322" s="792">
        <f t="shared" si="118"/>
        <v>40140.389376879786</v>
      </c>
      <c r="N1322" s="812">
        <v>958607</v>
      </c>
      <c r="O1322" s="792">
        <f t="shared" si="119"/>
        <v>40140.389376879786</v>
      </c>
      <c r="P1322" s="792">
        <f t="shared" si="120"/>
        <v>0</v>
      </c>
    </row>
    <row r="1323" spans="2:16">
      <c r="C1323" s="788">
        <f>IF(D1313="","-",+C1322+1)</f>
        <v>2019</v>
      </c>
      <c r="D1323" s="1321">
        <f t="shared" si="121"/>
        <v>5593857.8850000007</v>
      </c>
      <c r="E1323" s="789">
        <f t="shared" si="123"/>
        <v>177582.79</v>
      </c>
      <c r="F1323" s="789">
        <f t="shared" si="117"/>
        <v>5416275.0950000007</v>
      </c>
      <c r="G1323" s="736">
        <f t="shared" si="122"/>
        <v>5505066.4900000002</v>
      </c>
      <c r="H1323" s="794">
        <f>+J1314*G1323+E1323</f>
        <v>973085.99564635218</v>
      </c>
      <c r="I1323" s="795">
        <f>+J1315*G1323+E1323</f>
        <v>973085.99564635218</v>
      </c>
      <c r="J1323" s="792">
        <f t="shared" si="124"/>
        <v>0</v>
      </c>
      <c r="K1323" s="792"/>
      <c r="L1323" s="812">
        <v>983630.204335046</v>
      </c>
      <c r="M1323" s="792">
        <f t="shared" si="118"/>
        <v>-10544.20868869382</v>
      </c>
      <c r="N1323" s="812">
        <v>983630.204335046</v>
      </c>
      <c r="O1323" s="792">
        <f t="shared" si="119"/>
        <v>-10544.20868869382</v>
      </c>
      <c r="P1323" s="792">
        <f t="shared" si="120"/>
        <v>0</v>
      </c>
    </row>
    <row r="1324" spans="2:16">
      <c r="C1324" s="788">
        <f>IF(D1313="","-",+C1323+1)</f>
        <v>2020</v>
      </c>
      <c r="D1324" s="1321">
        <f t="shared" si="121"/>
        <v>5416275.0950000007</v>
      </c>
      <c r="E1324" s="789">
        <f t="shared" si="123"/>
        <v>177582.79</v>
      </c>
      <c r="F1324" s="789">
        <f t="shared" si="117"/>
        <v>5238692.3050000006</v>
      </c>
      <c r="G1324" s="736">
        <f t="shared" si="122"/>
        <v>5327483.7000000011</v>
      </c>
      <c r="H1324" s="794">
        <f>+J1314*G1324+E1324</f>
        <v>947424.60191582481</v>
      </c>
      <c r="I1324" s="795">
        <f>+J1315*G1324+E1324</f>
        <v>947424.60191582481</v>
      </c>
      <c r="J1324" s="792">
        <f t="shared" si="124"/>
        <v>0</v>
      </c>
      <c r="K1324" s="792"/>
      <c r="L1324" s="812">
        <v>1031480.592152703</v>
      </c>
      <c r="M1324" s="792">
        <f t="shared" si="118"/>
        <v>-84055.990236878162</v>
      </c>
      <c r="N1324" s="812">
        <v>1031480.592152703</v>
      </c>
      <c r="O1324" s="792">
        <f t="shared" si="119"/>
        <v>-84055.990236878162</v>
      </c>
      <c r="P1324" s="792">
        <f t="shared" si="120"/>
        <v>0</v>
      </c>
    </row>
    <row r="1325" spans="2:16">
      <c r="C1325" s="788">
        <f>IF(D1313="","-",+C1324+1)</f>
        <v>2021</v>
      </c>
      <c r="D1325" s="1321">
        <f t="shared" si="121"/>
        <v>5238692.3050000006</v>
      </c>
      <c r="E1325" s="789">
        <f t="shared" si="123"/>
        <v>177582.79</v>
      </c>
      <c r="F1325" s="789">
        <f t="shared" si="117"/>
        <v>5061109.5150000006</v>
      </c>
      <c r="G1325" s="736">
        <f t="shared" si="122"/>
        <v>5149900.91</v>
      </c>
      <c r="H1325" s="794">
        <f>+J1314*G1325+E1325</f>
        <v>921763.2081852972</v>
      </c>
      <c r="I1325" s="795">
        <f>+J1315*G1325+E1325</f>
        <v>921763.2081852972</v>
      </c>
      <c r="J1325" s="792">
        <f t="shared" si="124"/>
        <v>0</v>
      </c>
      <c r="K1325" s="792"/>
      <c r="L1325" s="812">
        <v>932834.71116654528</v>
      </c>
      <c r="M1325" s="792">
        <f t="shared" si="118"/>
        <v>-11071.502981248079</v>
      </c>
      <c r="N1325" s="812">
        <v>932834.71116654528</v>
      </c>
      <c r="O1325" s="792">
        <f t="shared" si="119"/>
        <v>-11071.502981248079</v>
      </c>
      <c r="P1325" s="792">
        <f t="shared" si="120"/>
        <v>0</v>
      </c>
    </row>
    <row r="1326" spans="2:16">
      <c r="C1326" s="788">
        <f>IF(D1313="","-",+C1325+1)</f>
        <v>2022</v>
      </c>
      <c r="D1326" s="1321">
        <f t="shared" si="121"/>
        <v>5061109.5150000006</v>
      </c>
      <c r="E1326" s="789">
        <f t="shared" si="123"/>
        <v>177582.79</v>
      </c>
      <c r="F1326" s="789">
        <f t="shared" si="117"/>
        <v>4883526.7250000006</v>
      </c>
      <c r="G1326" s="736">
        <f t="shared" si="122"/>
        <v>4972318.120000001</v>
      </c>
      <c r="H1326" s="794">
        <f>+J1314*G1326+E1326</f>
        <v>896101.81445476983</v>
      </c>
      <c r="I1326" s="795">
        <f>+J1315*G1326+E1326</f>
        <v>896101.81445476983</v>
      </c>
      <c r="J1326" s="792">
        <f t="shared" si="124"/>
        <v>0</v>
      </c>
      <c r="K1326" s="792"/>
      <c r="L1326" s="812">
        <v>932129.76158471475</v>
      </c>
      <c r="M1326" s="792">
        <f t="shared" si="118"/>
        <v>-36027.947129944921</v>
      </c>
      <c r="N1326" s="812">
        <v>932129.76158471475</v>
      </c>
      <c r="O1326" s="792">
        <f t="shared" si="119"/>
        <v>-36027.947129944921</v>
      </c>
      <c r="P1326" s="792">
        <f t="shared" si="120"/>
        <v>0</v>
      </c>
    </row>
    <row r="1327" spans="2:16">
      <c r="C1327" s="788">
        <f>IF(D1313="","-",+C1326+1)</f>
        <v>2023</v>
      </c>
      <c r="D1327" s="736">
        <f t="shared" si="121"/>
        <v>4883526.7250000006</v>
      </c>
      <c r="E1327" s="789">
        <f t="shared" si="123"/>
        <v>177582.79</v>
      </c>
      <c r="F1327" s="789">
        <f t="shared" si="117"/>
        <v>4705943.9350000005</v>
      </c>
      <c r="G1327" s="736">
        <f t="shared" si="122"/>
        <v>4794735.33</v>
      </c>
      <c r="H1327" s="794">
        <f>+J1314*G1327+E1327</f>
        <v>870440.42072424223</v>
      </c>
      <c r="I1327" s="795">
        <f>+J1315*G1327+E1327</f>
        <v>870440.42072424223</v>
      </c>
      <c r="J1327" s="792">
        <f t="shared" si="124"/>
        <v>0</v>
      </c>
      <c r="K1327" s="792"/>
      <c r="L1327" s="812">
        <v>909124.16314270871</v>
      </c>
      <c r="M1327" s="792">
        <f t="shared" si="118"/>
        <v>-38683.742418466485</v>
      </c>
      <c r="N1327" s="812">
        <v>909124.16314270871</v>
      </c>
      <c r="O1327" s="792">
        <f t="shared" si="119"/>
        <v>-38683.742418466485</v>
      </c>
      <c r="P1327" s="792">
        <f t="shared" si="120"/>
        <v>0</v>
      </c>
    </row>
    <row r="1328" spans="2:16">
      <c r="C1328" s="788">
        <f>IF(D1313="","-",+C1327+1)</f>
        <v>2024</v>
      </c>
      <c r="D1328" s="736">
        <f t="shared" si="121"/>
        <v>4705943.9350000005</v>
      </c>
      <c r="E1328" s="789">
        <f t="shared" si="123"/>
        <v>177582.79</v>
      </c>
      <c r="F1328" s="789">
        <f t="shared" si="117"/>
        <v>4528361.1450000005</v>
      </c>
      <c r="G1328" s="736">
        <f t="shared" si="122"/>
        <v>4617152.540000001</v>
      </c>
      <c r="H1328" s="794">
        <f>+J1314*G1328+E1328</f>
        <v>844779.02699371486</v>
      </c>
      <c r="I1328" s="795">
        <f>+J1315*G1328+E1328</f>
        <v>844779.02699371486</v>
      </c>
      <c r="J1328" s="792">
        <f t="shared" si="124"/>
        <v>0</v>
      </c>
      <c r="K1328" s="792"/>
      <c r="L1328" s="812"/>
      <c r="M1328" s="792">
        <f t="shared" si="118"/>
        <v>0</v>
      </c>
      <c r="N1328" s="812"/>
      <c r="O1328" s="792">
        <f t="shared" si="119"/>
        <v>0</v>
      </c>
      <c r="P1328" s="792">
        <f t="shared" si="120"/>
        <v>0</v>
      </c>
    </row>
    <row r="1329" spans="3:16">
      <c r="C1329" s="788">
        <f>IF(D1313="","-",+C1328+1)</f>
        <v>2025</v>
      </c>
      <c r="D1329" s="736">
        <f t="shared" si="121"/>
        <v>4528361.1450000005</v>
      </c>
      <c r="E1329" s="789">
        <f t="shared" si="123"/>
        <v>177582.79</v>
      </c>
      <c r="F1329" s="789">
        <f t="shared" si="117"/>
        <v>4350778.3550000004</v>
      </c>
      <c r="G1329" s="736">
        <f t="shared" si="122"/>
        <v>4439569.75</v>
      </c>
      <c r="H1329" s="794">
        <f>+J1314*G1329+E1329</f>
        <v>819117.63326318725</v>
      </c>
      <c r="I1329" s="795">
        <f>+J1315*G1329+E1329</f>
        <v>819117.63326318725</v>
      </c>
      <c r="J1329" s="792">
        <f t="shared" si="124"/>
        <v>0</v>
      </c>
      <c r="K1329" s="792"/>
      <c r="L1329" s="812"/>
      <c r="M1329" s="792">
        <f t="shared" si="118"/>
        <v>0</v>
      </c>
      <c r="N1329" s="812"/>
      <c r="O1329" s="792">
        <f t="shared" si="119"/>
        <v>0</v>
      </c>
      <c r="P1329" s="792">
        <f t="shared" si="120"/>
        <v>0</v>
      </c>
    </row>
    <row r="1330" spans="3:16">
      <c r="C1330" s="788">
        <f>IF(D1313="","-",+C1329+1)</f>
        <v>2026</v>
      </c>
      <c r="D1330" s="736">
        <f t="shared" si="121"/>
        <v>4350778.3550000004</v>
      </c>
      <c r="E1330" s="789">
        <f t="shared" si="123"/>
        <v>177582.79</v>
      </c>
      <c r="F1330" s="789">
        <f t="shared" si="117"/>
        <v>4173195.5650000004</v>
      </c>
      <c r="G1330" s="736">
        <f t="shared" si="122"/>
        <v>4261986.9600000009</v>
      </c>
      <c r="H1330" s="794">
        <f>+J1314*G1330+E1330</f>
        <v>793456.23953265988</v>
      </c>
      <c r="I1330" s="795">
        <f>+J1315*G1330+E1330</f>
        <v>793456.23953265988</v>
      </c>
      <c r="J1330" s="792">
        <f t="shared" si="124"/>
        <v>0</v>
      </c>
      <c r="K1330" s="792"/>
      <c r="L1330" s="812"/>
      <c r="M1330" s="792">
        <f t="shared" si="118"/>
        <v>0</v>
      </c>
      <c r="N1330" s="812"/>
      <c r="O1330" s="792">
        <f t="shared" si="119"/>
        <v>0</v>
      </c>
      <c r="P1330" s="792">
        <f t="shared" si="120"/>
        <v>0</v>
      </c>
    </row>
    <row r="1331" spans="3:16">
      <c r="C1331" s="788">
        <f>IF(D1313="","-",+C1330+1)</f>
        <v>2027</v>
      </c>
      <c r="D1331" s="736">
        <f t="shared" si="121"/>
        <v>4173195.5650000004</v>
      </c>
      <c r="E1331" s="789">
        <f t="shared" si="123"/>
        <v>177582.79</v>
      </c>
      <c r="F1331" s="789">
        <f t="shared" si="117"/>
        <v>3995612.7750000004</v>
      </c>
      <c r="G1331" s="736">
        <f t="shared" si="122"/>
        <v>4084404.1700000004</v>
      </c>
      <c r="H1331" s="794">
        <f>+J1314*G1331+E1331</f>
        <v>767794.84580213227</v>
      </c>
      <c r="I1331" s="795">
        <f>+J1315*G1331+E1331</f>
        <v>767794.84580213227</v>
      </c>
      <c r="J1331" s="792">
        <f t="shared" si="124"/>
        <v>0</v>
      </c>
      <c r="K1331" s="792"/>
      <c r="L1331" s="812"/>
      <c r="M1331" s="792">
        <f t="shared" si="118"/>
        <v>0</v>
      </c>
      <c r="N1331" s="812"/>
      <c r="O1331" s="792">
        <f t="shared" si="119"/>
        <v>0</v>
      </c>
      <c r="P1331" s="792">
        <f t="shared" si="120"/>
        <v>0</v>
      </c>
    </row>
    <row r="1332" spans="3:16">
      <c r="C1332" s="788">
        <f>IF(D1313="","-",+C1331+1)</f>
        <v>2028</v>
      </c>
      <c r="D1332" s="736">
        <f t="shared" si="121"/>
        <v>3995612.7750000004</v>
      </c>
      <c r="E1332" s="789">
        <f t="shared" si="123"/>
        <v>177582.79</v>
      </c>
      <c r="F1332" s="789">
        <f t="shared" si="117"/>
        <v>3818029.9850000003</v>
      </c>
      <c r="G1332" s="736">
        <f t="shared" si="122"/>
        <v>3906821.3800000004</v>
      </c>
      <c r="H1332" s="794">
        <f>+J1314*G1332+E1332</f>
        <v>742133.45207160478</v>
      </c>
      <c r="I1332" s="795">
        <f>+J1315*G1332+E1332</f>
        <v>742133.45207160478</v>
      </c>
      <c r="J1332" s="792">
        <f t="shared" si="124"/>
        <v>0</v>
      </c>
      <c r="K1332" s="792"/>
      <c r="L1332" s="812"/>
      <c r="M1332" s="792">
        <f t="shared" si="118"/>
        <v>0</v>
      </c>
      <c r="N1332" s="812"/>
      <c r="O1332" s="792">
        <f t="shared" si="119"/>
        <v>0</v>
      </c>
      <c r="P1332" s="792">
        <f t="shared" si="120"/>
        <v>0</v>
      </c>
    </row>
    <row r="1333" spans="3:16">
      <c r="C1333" s="788">
        <f>IF(D1313="","-",+C1332+1)</f>
        <v>2029</v>
      </c>
      <c r="D1333" s="736">
        <f t="shared" si="121"/>
        <v>3818029.9850000003</v>
      </c>
      <c r="E1333" s="789">
        <f t="shared" si="123"/>
        <v>177582.79</v>
      </c>
      <c r="F1333" s="789">
        <f t="shared" si="117"/>
        <v>3640447.1950000003</v>
      </c>
      <c r="G1333" s="736">
        <f t="shared" si="122"/>
        <v>3729238.5900000003</v>
      </c>
      <c r="H1333" s="794">
        <f>+J1314*G1333+E1333</f>
        <v>716472.0583410773</v>
      </c>
      <c r="I1333" s="795">
        <f>+J1315*G1333+E1333</f>
        <v>716472.0583410773</v>
      </c>
      <c r="J1333" s="792">
        <f t="shared" si="124"/>
        <v>0</v>
      </c>
      <c r="K1333" s="792"/>
      <c r="L1333" s="812"/>
      <c r="M1333" s="792">
        <f t="shared" si="118"/>
        <v>0</v>
      </c>
      <c r="N1333" s="812"/>
      <c r="O1333" s="792">
        <f t="shared" si="119"/>
        <v>0</v>
      </c>
      <c r="P1333" s="792">
        <f t="shared" si="120"/>
        <v>0</v>
      </c>
    </row>
    <row r="1334" spans="3:16">
      <c r="C1334" s="788">
        <f>IF(D1313="","-",+C1333+1)</f>
        <v>2030</v>
      </c>
      <c r="D1334" s="736">
        <f t="shared" si="121"/>
        <v>3640447.1950000003</v>
      </c>
      <c r="E1334" s="789">
        <f t="shared" si="123"/>
        <v>177582.79</v>
      </c>
      <c r="F1334" s="789">
        <f t="shared" si="117"/>
        <v>3462864.4050000003</v>
      </c>
      <c r="G1334" s="736">
        <f t="shared" si="122"/>
        <v>3551655.8000000003</v>
      </c>
      <c r="H1334" s="794">
        <f>+J1314*G1334+E1334</f>
        <v>690810.66461054981</v>
      </c>
      <c r="I1334" s="795">
        <f>+J1315*G1334+E1334</f>
        <v>690810.66461054981</v>
      </c>
      <c r="J1334" s="792">
        <f t="shared" si="124"/>
        <v>0</v>
      </c>
      <c r="K1334" s="792"/>
      <c r="L1334" s="812"/>
      <c r="M1334" s="792">
        <f t="shared" si="118"/>
        <v>0</v>
      </c>
      <c r="N1334" s="812"/>
      <c r="O1334" s="792">
        <f t="shared" si="119"/>
        <v>0</v>
      </c>
      <c r="P1334" s="792">
        <f t="shared" si="120"/>
        <v>0</v>
      </c>
    </row>
    <row r="1335" spans="3:16">
      <c r="C1335" s="788">
        <f>IF(D1313="","-",+C1334+1)</f>
        <v>2031</v>
      </c>
      <c r="D1335" s="736">
        <f t="shared" si="121"/>
        <v>3462864.4050000003</v>
      </c>
      <c r="E1335" s="789">
        <f t="shared" si="123"/>
        <v>177582.79</v>
      </c>
      <c r="F1335" s="789">
        <f t="shared" si="117"/>
        <v>3285281.6150000002</v>
      </c>
      <c r="G1335" s="736">
        <f t="shared" si="122"/>
        <v>3374073.0100000002</v>
      </c>
      <c r="H1335" s="794">
        <f>+J1314*G1335+E1335</f>
        <v>665149.27088002232</v>
      </c>
      <c r="I1335" s="795">
        <f>+J1315*G1335+E1335</f>
        <v>665149.27088002232</v>
      </c>
      <c r="J1335" s="792">
        <f t="shared" si="124"/>
        <v>0</v>
      </c>
      <c r="K1335" s="792"/>
      <c r="L1335" s="812"/>
      <c r="M1335" s="792">
        <f t="shared" si="118"/>
        <v>0</v>
      </c>
      <c r="N1335" s="812"/>
      <c r="O1335" s="792">
        <f t="shared" si="119"/>
        <v>0</v>
      </c>
      <c r="P1335" s="792">
        <f t="shared" si="120"/>
        <v>0</v>
      </c>
    </row>
    <row r="1336" spans="3:16">
      <c r="C1336" s="788">
        <f>IF(D1313="","-",+C1335+1)</f>
        <v>2032</v>
      </c>
      <c r="D1336" s="736">
        <f t="shared" si="121"/>
        <v>3285281.6150000002</v>
      </c>
      <c r="E1336" s="789">
        <f t="shared" si="123"/>
        <v>177582.79</v>
      </c>
      <c r="F1336" s="789">
        <f t="shared" si="117"/>
        <v>3107698.8250000002</v>
      </c>
      <c r="G1336" s="736">
        <f t="shared" si="122"/>
        <v>3196490.22</v>
      </c>
      <c r="H1336" s="794">
        <f>+J1314*G1336+E1336</f>
        <v>639487.87714949483</v>
      </c>
      <c r="I1336" s="795">
        <f>+J1315*G1336+E1336</f>
        <v>639487.87714949483</v>
      </c>
      <c r="J1336" s="792">
        <f t="shared" si="124"/>
        <v>0</v>
      </c>
      <c r="K1336" s="792"/>
      <c r="L1336" s="812"/>
      <c r="M1336" s="792">
        <f t="shared" si="118"/>
        <v>0</v>
      </c>
      <c r="N1336" s="812"/>
      <c r="O1336" s="792">
        <f t="shared" si="119"/>
        <v>0</v>
      </c>
      <c r="P1336" s="792">
        <f t="shared" si="120"/>
        <v>0</v>
      </c>
    </row>
    <row r="1337" spans="3:16">
      <c r="C1337" s="788">
        <f>IF(D1313="","-",+C1336+1)</f>
        <v>2033</v>
      </c>
      <c r="D1337" s="736">
        <f t="shared" si="121"/>
        <v>3107698.8250000002</v>
      </c>
      <c r="E1337" s="789">
        <f t="shared" si="123"/>
        <v>177582.79</v>
      </c>
      <c r="F1337" s="789">
        <f t="shared" si="117"/>
        <v>2930116.0350000001</v>
      </c>
      <c r="G1337" s="736">
        <f t="shared" si="122"/>
        <v>3018907.43</v>
      </c>
      <c r="H1337" s="794">
        <f>+J1314*G1337+E1337</f>
        <v>613826.48341896734</v>
      </c>
      <c r="I1337" s="795">
        <f>+J1315*G1337+E1337</f>
        <v>613826.48341896734</v>
      </c>
      <c r="J1337" s="792">
        <f t="shared" si="124"/>
        <v>0</v>
      </c>
      <c r="K1337" s="792"/>
      <c r="L1337" s="812"/>
      <c r="M1337" s="792">
        <f t="shared" si="118"/>
        <v>0</v>
      </c>
      <c r="N1337" s="812"/>
      <c r="O1337" s="792">
        <f t="shared" si="119"/>
        <v>0</v>
      </c>
      <c r="P1337" s="792">
        <f t="shared" si="120"/>
        <v>0</v>
      </c>
    </row>
    <row r="1338" spans="3:16">
      <c r="C1338" s="788">
        <f>IF(D1313="","-",+C1337+1)</f>
        <v>2034</v>
      </c>
      <c r="D1338" s="736">
        <f t="shared" si="121"/>
        <v>2930116.0350000001</v>
      </c>
      <c r="E1338" s="789">
        <f t="shared" si="123"/>
        <v>177582.79</v>
      </c>
      <c r="F1338" s="789">
        <f t="shared" si="117"/>
        <v>2752533.2450000001</v>
      </c>
      <c r="G1338" s="736">
        <f t="shared" si="122"/>
        <v>2841324.64</v>
      </c>
      <c r="H1338" s="794">
        <f>+J1314*G1338+E1338</f>
        <v>588165.08968843985</v>
      </c>
      <c r="I1338" s="795">
        <f>+J1315*G1338+E1338</f>
        <v>588165.08968843985</v>
      </c>
      <c r="J1338" s="792">
        <f t="shared" si="124"/>
        <v>0</v>
      </c>
      <c r="K1338" s="792"/>
      <c r="L1338" s="812"/>
      <c r="M1338" s="792">
        <f t="shared" si="118"/>
        <v>0</v>
      </c>
      <c r="N1338" s="812"/>
      <c r="O1338" s="792">
        <f t="shared" si="119"/>
        <v>0</v>
      </c>
      <c r="P1338" s="792">
        <f t="shared" si="120"/>
        <v>0</v>
      </c>
    </row>
    <row r="1339" spans="3:16">
      <c r="C1339" s="788">
        <f>IF(D1313="","-",+C1338+1)</f>
        <v>2035</v>
      </c>
      <c r="D1339" s="736">
        <f t="shared" si="121"/>
        <v>2752533.2450000001</v>
      </c>
      <c r="E1339" s="789">
        <f t="shared" si="123"/>
        <v>177582.79</v>
      </c>
      <c r="F1339" s="789">
        <f t="shared" si="117"/>
        <v>2574950.4550000001</v>
      </c>
      <c r="G1339" s="736">
        <f t="shared" si="122"/>
        <v>2663741.85</v>
      </c>
      <c r="H1339" s="794">
        <f>+J1314*G1339+E1339</f>
        <v>562503.69595791236</v>
      </c>
      <c r="I1339" s="795">
        <f>+J1315*G1339+E1339</f>
        <v>562503.69595791236</v>
      </c>
      <c r="J1339" s="792">
        <f t="shared" si="124"/>
        <v>0</v>
      </c>
      <c r="K1339" s="792"/>
      <c r="L1339" s="812"/>
      <c r="M1339" s="792">
        <f t="shared" si="118"/>
        <v>0</v>
      </c>
      <c r="N1339" s="812"/>
      <c r="O1339" s="792">
        <f t="shared" si="119"/>
        <v>0</v>
      </c>
      <c r="P1339" s="792">
        <f t="shared" si="120"/>
        <v>0</v>
      </c>
    </row>
    <row r="1340" spans="3:16">
      <c r="C1340" s="788">
        <f>IF(D1313="","-",+C1339+1)</f>
        <v>2036</v>
      </c>
      <c r="D1340" s="736">
        <f t="shared" si="121"/>
        <v>2574950.4550000001</v>
      </c>
      <c r="E1340" s="789">
        <f t="shared" si="123"/>
        <v>177582.79</v>
      </c>
      <c r="F1340" s="789">
        <f t="shared" si="117"/>
        <v>2397367.665</v>
      </c>
      <c r="G1340" s="736">
        <f t="shared" si="122"/>
        <v>2486159.06</v>
      </c>
      <c r="H1340" s="794">
        <f>+J1314*G1340+E1340</f>
        <v>536842.30222738488</v>
      </c>
      <c r="I1340" s="795">
        <f>+J1315*G1340+E1340</f>
        <v>536842.30222738488</v>
      </c>
      <c r="J1340" s="792">
        <f t="shared" si="124"/>
        <v>0</v>
      </c>
      <c r="K1340" s="792"/>
      <c r="L1340" s="812"/>
      <c r="M1340" s="792">
        <f t="shared" si="118"/>
        <v>0</v>
      </c>
      <c r="N1340" s="812"/>
      <c r="O1340" s="792">
        <f t="shared" si="119"/>
        <v>0</v>
      </c>
      <c r="P1340" s="792">
        <f t="shared" si="120"/>
        <v>0</v>
      </c>
    </row>
    <row r="1341" spans="3:16">
      <c r="C1341" s="788">
        <f>IF(D1313="","-",+C1340+1)</f>
        <v>2037</v>
      </c>
      <c r="D1341" s="736">
        <f t="shared" si="121"/>
        <v>2397367.665</v>
      </c>
      <c r="E1341" s="789">
        <f t="shared" si="123"/>
        <v>177582.79</v>
      </c>
      <c r="F1341" s="789">
        <f t="shared" si="117"/>
        <v>2219784.875</v>
      </c>
      <c r="G1341" s="736">
        <f t="shared" si="122"/>
        <v>2308576.27</v>
      </c>
      <c r="H1341" s="794">
        <f>+J1314*G1341+E1341</f>
        <v>511180.90849685739</v>
      </c>
      <c r="I1341" s="795">
        <f>+J1315*G1341+E1341</f>
        <v>511180.90849685739</v>
      </c>
      <c r="J1341" s="792">
        <f t="shared" si="124"/>
        <v>0</v>
      </c>
      <c r="K1341" s="792"/>
      <c r="L1341" s="812"/>
      <c r="M1341" s="792">
        <f t="shared" si="118"/>
        <v>0</v>
      </c>
      <c r="N1341" s="812"/>
      <c r="O1341" s="792">
        <f t="shared" si="119"/>
        <v>0</v>
      </c>
      <c r="P1341" s="792">
        <f t="shared" si="120"/>
        <v>0</v>
      </c>
    </row>
    <row r="1342" spans="3:16">
      <c r="C1342" s="788">
        <f>IF(D1313="","-",+C1341+1)</f>
        <v>2038</v>
      </c>
      <c r="D1342" s="736">
        <f t="shared" si="121"/>
        <v>2219784.875</v>
      </c>
      <c r="E1342" s="789">
        <f t="shared" si="123"/>
        <v>177582.79</v>
      </c>
      <c r="F1342" s="789">
        <f t="shared" si="117"/>
        <v>2042202.085</v>
      </c>
      <c r="G1342" s="736">
        <f t="shared" si="122"/>
        <v>2130993.48</v>
      </c>
      <c r="H1342" s="794">
        <f>+J1314*G1342+E1342</f>
        <v>485519.5147663299</v>
      </c>
      <c r="I1342" s="795">
        <f>+J1315*G1342+E1342</f>
        <v>485519.5147663299</v>
      </c>
      <c r="J1342" s="792">
        <f t="shared" si="124"/>
        <v>0</v>
      </c>
      <c r="K1342" s="792"/>
      <c r="L1342" s="812"/>
      <c r="M1342" s="792">
        <f t="shared" si="118"/>
        <v>0</v>
      </c>
      <c r="N1342" s="812"/>
      <c r="O1342" s="792">
        <f t="shared" si="119"/>
        <v>0</v>
      </c>
      <c r="P1342" s="792">
        <f t="shared" si="120"/>
        <v>0</v>
      </c>
    </row>
    <row r="1343" spans="3:16">
      <c r="C1343" s="788">
        <f>IF(D1313="","-",+C1342+1)</f>
        <v>2039</v>
      </c>
      <c r="D1343" s="736">
        <f t="shared" si="121"/>
        <v>2042202.085</v>
      </c>
      <c r="E1343" s="789">
        <f t="shared" si="123"/>
        <v>177582.79</v>
      </c>
      <c r="F1343" s="789">
        <f t="shared" si="117"/>
        <v>1864619.2949999999</v>
      </c>
      <c r="G1343" s="736">
        <f t="shared" si="122"/>
        <v>1953410.69</v>
      </c>
      <c r="H1343" s="794">
        <f>+J1314*G1343+E1343</f>
        <v>459858.12103580241</v>
      </c>
      <c r="I1343" s="795">
        <f>+J1315*G1343+E1343</f>
        <v>459858.12103580241</v>
      </c>
      <c r="J1343" s="792">
        <f t="shared" si="124"/>
        <v>0</v>
      </c>
      <c r="K1343" s="792"/>
      <c r="L1343" s="812"/>
      <c r="M1343" s="792">
        <f t="shared" si="118"/>
        <v>0</v>
      </c>
      <c r="N1343" s="812"/>
      <c r="O1343" s="792">
        <f t="shared" si="119"/>
        <v>0</v>
      </c>
      <c r="P1343" s="792">
        <f t="shared" si="120"/>
        <v>0</v>
      </c>
    </row>
    <row r="1344" spans="3:16">
      <c r="C1344" s="788">
        <f>IF(D1313="","-",+C1343+1)</f>
        <v>2040</v>
      </c>
      <c r="D1344" s="736">
        <f t="shared" si="121"/>
        <v>1864619.2949999999</v>
      </c>
      <c r="E1344" s="789">
        <f t="shared" si="123"/>
        <v>177582.79</v>
      </c>
      <c r="F1344" s="789">
        <f t="shared" si="117"/>
        <v>1687036.5049999999</v>
      </c>
      <c r="G1344" s="736">
        <f t="shared" si="122"/>
        <v>1775827.9</v>
      </c>
      <c r="H1344" s="794">
        <f>+J1314*G1344+E1344</f>
        <v>434196.72730527486</v>
      </c>
      <c r="I1344" s="795">
        <f>+J1315*G1344+E1344</f>
        <v>434196.72730527486</v>
      </c>
      <c r="J1344" s="792">
        <f t="shared" si="124"/>
        <v>0</v>
      </c>
      <c r="K1344" s="792"/>
      <c r="L1344" s="812"/>
      <c r="M1344" s="792">
        <f t="shared" si="118"/>
        <v>0</v>
      </c>
      <c r="N1344" s="812"/>
      <c r="O1344" s="792">
        <f t="shared" si="119"/>
        <v>0</v>
      </c>
      <c r="P1344" s="792">
        <f t="shared" si="120"/>
        <v>0</v>
      </c>
    </row>
    <row r="1345" spans="3:16">
      <c r="C1345" s="788">
        <f>IF(D1313="","-",+C1344+1)</f>
        <v>2041</v>
      </c>
      <c r="D1345" s="736">
        <f t="shared" si="121"/>
        <v>1687036.5049999999</v>
      </c>
      <c r="E1345" s="789">
        <f t="shared" si="123"/>
        <v>177582.79</v>
      </c>
      <c r="F1345" s="789">
        <f t="shared" si="117"/>
        <v>1509453.7149999999</v>
      </c>
      <c r="G1345" s="736">
        <f t="shared" si="122"/>
        <v>1598245.1099999999</v>
      </c>
      <c r="H1345" s="794">
        <f>+J1314*G1345+E1345</f>
        <v>408535.33357474738</v>
      </c>
      <c r="I1345" s="795">
        <f>+J1315*G1345+E1345</f>
        <v>408535.33357474738</v>
      </c>
      <c r="J1345" s="792">
        <f t="shared" si="124"/>
        <v>0</v>
      </c>
      <c r="K1345" s="792"/>
      <c r="L1345" s="812"/>
      <c r="M1345" s="792">
        <f t="shared" si="118"/>
        <v>0</v>
      </c>
      <c r="N1345" s="812"/>
      <c r="O1345" s="792">
        <f t="shared" si="119"/>
        <v>0</v>
      </c>
      <c r="P1345" s="792">
        <f t="shared" si="120"/>
        <v>0</v>
      </c>
    </row>
    <row r="1346" spans="3:16">
      <c r="C1346" s="788">
        <f>IF(D1313="","-",+C1345+1)</f>
        <v>2042</v>
      </c>
      <c r="D1346" s="736">
        <f t="shared" si="121"/>
        <v>1509453.7149999999</v>
      </c>
      <c r="E1346" s="789">
        <f t="shared" si="123"/>
        <v>177582.79</v>
      </c>
      <c r="F1346" s="789">
        <f t="shared" si="117"/>
        <v>1331870.9249999998</v>
      </c>
      <c r="G1346" s="736">
        <f t="shared" si="122"/>
        <v>1420662.3199999998</v>
      </c>
      <c r="H1346" s="794">
        <f>+J1314*G1346+E1346</f>
        <v>382873.93984421989</v>
      </c>
      <c r="I1346" s="795">
        <f>+J1315*G1346+E1346</f>
        <v>382873.93984421989</v>
      </c>
      <c r="J1346" s="792">
        <f t="shared" si="124"/>
        <v>0</v>
      </c>
      <c r="K1346" s="792"/>
      <c r="L1346" s="812"/>
      <c r="M1346" s="792">
        <f t="shared" si="118"/>
        <v>0</v>
      </c>
      <c r="N1346" s="812"/>
      <c r="O1346" s="792">
        <f t="shared" si="119"/>
        <v>0</v>
      </c>
      <c r="P1346" s="792">
        <f t="shared" si="120"/>
        <v>0</v>
      </c>
    </row>
    <row r="1347" spans="3:16">
      <c r="C1347" s="788">
        <f>IF(D1313="","-",+C1346+1)</f>
        <v>2043</v>
      </c>
      <c r="D1347" s="736">
        <f t="shared" si="121"/>
        <v>1331870.9249999998</v>
      </c>
      <c r="E1347" s="789">
        <f t="shared" si="123"/>
        <v>177582.79</v>
      </c>
      <c r="F1347" s="789">
        <f t="shared" si="117"/>
        <v>1154288.1349999998</v>
      </c>
      <c r="G1347" s="736">
        <f t="shared" si="122"/>
        <v>1243079.5299999998</v>
      </c>
      <c r="H1347" s="794">
        <f>+J1314*G1347+E1347</f>
        <v>357212.5461136924</v>
      </c>
      <c r="I1347" s="795">
        <f>+J1315*G1347+E1347</f>
        <v>357212.5461136924</v>
      </c>
      <c r="J1347" s="792">
        <f t="shared" si="124"/>
        <v>0</v>
      </c>
      <c r="K1347" s="792"/>
      <c r="L1347" s="812"/>
      <c r="M1347" s="792">
        <f t="shared" si="118"/>
        <v>0</v>
      </c>
      <c r="N1347" s="812"/>
      <c r="O1347" s="792">
        <f t="shared" si="119"/>
        <v>0</v>
      </c>
      <c r="P1347" s="792">
        <f t="shared" si="120"/>
        <v>0</v>
      </c>
    </row>
    <row r="1348" spans="3:16">
      <c r="C1348" s="788">
        <f>IF(D1313="","-",+C1347+1)</f>
        <v>2044</v>
      </c>
      <c r="D1348" s="736">
        <f t="shared" si="121"/>
        <v>1154288.1349999998</v>
      </c>
      <c r="E1348" s="789">
        <f t="shared" si="123"/>
        <v>177582.79</v>
      </c>
      <c r="F1348" s="789">
        <f t="shared" si="117"/>
        <v>976705.34499999974</v>
      </c>
      <c r="G1348" s="736">
        <f t="shared" si="122"/>
        <v>1065496.7399999998</v>
      </c>
      <c r="H1348" s="794">
        <f>+J1314*G1348+E1348</f>
        <v>331551.15238316491</v>
      </c>
      <c r="I1348" s="795">
        <f>+J1315*G1348+E1348</f>
        <v>331551.15238316491</v>
      </c>
      <c r="J1348" s="792">
        <f t="shared" si="124"/>
        <v>0</v>
      </c>
      <c r="K1348" s="792"/>
      <c r="L1348" s="812"/>
      <c r="M1348" s="792">
        <f t="shared" si="118"/>
        <v>0</v>
      </c>
      <c r="N1348" s="812"/>
      <c r="O1348" s="792">
        <f t="shared" si="119"/>
        <v>0</v>
      </c>
      <c r="P1348" s="792">
        <f t="shared" si="120"/>
        <v>0</v>
      </c>
    </row>
    <row r="1349" spans="3:16">
      <c r="C1349" s="788">
        <f>IF(D1313="","-",+C1348+1)</f>
        <v>2045</v>
      </c>
      <c r="D1349" s="736">
        <f t="shared" si="121"/>
        <v>976705.34499999974</v>
      </c>
      <c r="E1349" s="789">
        <f t="shared" si="123"/>
        <v>177582.79</v>
      </c>
      <c r="F1349" s="789">
        <f t="shared" si="117"/>
        <v>799122.5549999997</v>
      </c>
      <c r="G1349" s="736">
        <f t="shared" si="122"/>
        <v>887913.94999999972</v>
      </c>
      <c r="H1349" s="794">
        <f>+J1314*G1349+E1349</f>
        <v>305889.75865263742</v>
      </c>
      <c r="I1349" s="795">
        <f>+J1315*G1349+E1349</f>
        <v>305889.75865263742</v>
      </c>
      <c r="J1349" s="792">
        <f t="shared" si="124"/>
        <v>0</v>
      </c>
      <c r="K1349" s="792"/>
      <c r="L1349" s="812"/>
      <c r="M1349" s="792">
        <f t="shared" si="118"/>
        <v>0</v>
      </c>
      <c r="N1349" s="812"/>
      <c r="O1349" s="792">
        <f t="shared" si="119"/>
        <v>0</v>
      </c>
      <c r="P1349" s="792">
        <f t="shared" si="120"/>
        <v>0</v>
      </c>
    </row>
    <row r="1350" spans="3:16">
      <c r="C1350" s="788">
        <f>IF(D1313="","-",+C1349+1)</f>
        <v>2046</v>
      </c>
      <c r="D1350" s="736">
        <f t="shared" si="121"/>
        <v>799122.5549999997</v>
      </c>
      <c r="E1350" s="789">
        <f t="shared" si="123"/>
        <v>177582.79</v>
      </c>
      <c r="F1350" s="789">
        <f t="shared" si="117"/>
        <v>621539.76499999966</v>
      </c>
      <c r="G1350" s="736">
        <f t="shared" si="122"/>
        <v>710331.15999999968</v>
      </c>
      <c r="H1350" s="794">
        <f>+J1314*G1350+E1350</f>
        <v>280228.36492210993</v>
      </c>
      <c r="I1350" s="795">
        <f>+J1315*G1350+E1350</f>
        <v>280228.36492210993</v>
      </c>
      <c r="J1350" s="792">
        <f t="shared" si="124"/>
        <v>0</v>
      </c>
      <c r="K1350" s="792"/>
      <c r="L1350" s="812"/>
      <c r="M1350" s="792">
        <f t="shared" si="118"/>
        <v>0</v>
      </c>
      <c r="N1350" s="812"/>
      <c r="O1350" s="792">
        <f t="shared" si="119"/>
        <v>0</v>
      </c>
      <c r="P1350" s="792">
        <f t="shared" si="120"/>
        <v>0</v>
      </c>
    </row>
    <row r="1351" spans="3:16">
      <c r="C1351" s="788">
        <f>IF(D1313="","-",+C1350+1)</f>
        <v>2047</v>
      </c>
      <c r="D1351" s="736">
        <f t="shared" si="121"/>
        <v>621539.76499999966</v>
      </c>
      <c r="E1351" s="789">
        <f t="shared" si="123"/>
        <v>177582.79</v>
      </c>
      <c r="F1351" s="789">
        <f t="shared" si="117"/>
        <v>443956.97499999963</v>
      </c>
      <c r="G1351" s="736">
        <f t="shared" si="122"/>
        <v>532748.36999999965</v>
      </c>
      <c r="H1351" s="794">
        <f>+J1314*G1351+E1351</f>
        <v>254566.97119158242</v>
      </c>
      <c r="I1351" s="795">
        <f>+J1315*G1351+E1351</f>
        <v>254566.97119158242</v>
      </c>
      <c r="J1351" s="792">
        <f t="shared" si="124"/>
        <v>0</v>
      </c>
      <c r="K1351" s="792"/>
      <c r="L1351" s="812"/>
      <c r="M1351" s="792">
        <f t="shared" si="118"/>
        <v>0</v>
      </c>
      <c r="N1351" s="812"/>
      <c r="O1351" s="792">
        <f t="shared" si="119"/>
        <v>0</v>
      </c>
      <c r="P1351" s="792">
        <f t="shared" si="120"/>
        <v>0</v>
      </c>
    </row>
    <row r="1352" spans="3:16">
      <c r="C1352" s="788">
        <f>IF(D1313="","-",+C1351+1)</f>
        <v>2048</v>
      </c>
      <c r="D1352" s="736">
        <f t="shared" si="121"/>
        <v>443956.97499999963</v>
      </c>
      <c r="E1352" s="789">
        <f t="shared" si="123"/>
        <v>177582.79</v>
      </c>
      <c r="F1352" s="789">
        <f t="shared" si="117"/>
        <v>266374.18499999959</v>
      </c>
      <c r="G1352" s="736">
        <f t="shared" si="122"/>
        <v>355165.57999999961</v>
      </c>
      <c r="H1352" s="794">
        <f>+J1314*G1352+E1352</f>
        <v>228905.57746105493</v>
      </c>
      <c r="I1352" s="795">
        <f>+J1315*G1352+E1352</f>
        <v>228905.57746105493</v>
      </c>
      <c r="J1352" s="792">
        <f t="shared" si="124"/>
        <v>0</v>
      </c>
      <c r="K1352" s="792"/>
      <c r="L1352" s="812"/>
      <c r="M1352" s="792">
        <f t="shared" si="118"/>
        <v>0</v>
      </c>
      <c r="N1352" s="812"/>
      <c r="O1352" s="792">
        <f t="shared" si="119"/>
        <v>0</v>
      </c>
      <c r="P1352" s="792">
        <f t="shared" si="120"/>
        <v>0</v>
      </c>
    </row>
    <row r="1353" spans="3:16">
      <c r="C1353" s="788">
        <f>IF(D1313="","-",+C1352+1)</f>
        <v>2049</v>
      </c>
      <c r="D1353" s="736">
        <f t="shared" si="121"/>
        <v>266374.18499999959</v>
      </c>
      <c r="E1353" s="789">
        <f t="shared" si="123"/>
        <v>177582.79</v>
      </c>
      <c r="F1353" s="789">
        <f t="shared" si="117"/>
        <v>88791.394999999582</v>
      </c>
      <c r="G1353" s="736">
        <f t="shared" si="122"/>
        <v>177582.78999999957</v>
      </c>
      <c r="H1353" s="794">
        <f>+J1314*G1353+E1353</f>
        <v>203244.18373052744</v>
      </c>
      <c r="I1353" s="795">
        <f>+J1315*G1353+E1353</f>
        <v>203244.18373052744</v>
      </c>
      <c r="J1353" s="792">
        <f t="shared" si="124"/>
        <v>0</v>
      </c>
      <c r="K1353" s="792"/>
      <c r="L1353" s="812"/>
      <c r="M1353" s="792">
        <f t="shared" si="118"/>
        <v>0</v>
      </c>
      <c r="N1353" s="812"/>
      <c r="O1353" s="792">
        <f t="shared" si="119"/>
        <v>0</v>
      </c>
      <c r="P1353" s="792">
        <f t="shared" si="120"/>
        <v>0</v>
      </c>
    </row>
    <row r="1354" spans="3:16">
      <c r="C1354" s="788">
        <f>IF(D1313="","-",+C1353+1)</f>
        <v>2050</v>
      </c>
      <c r="D1354" s="736">
        <f t="shared" si="121"/>
        <v>88791.394999999582</v>
      </c>
      <c r="E1354" s="789">
        <f t="shared" si="123"/>
        <v>88791.394999999582</v>
      </c>
      <c r="F1354" s="789">
        <f t="shared" si="117"/>
        <v>0</v>
      </c>
      <c r="G1354" s="736">
        <f t="shared" si="122"/>
        <v>44395.697499999791</v>
      </c>
      <c r="H1354" s="794">
        <f>+J1314*G1354+E1354</f>
        <v>95206.743432631425</v>
      </c>
      <c r="I1354" s="795">
        <f>+J1315*G1354+E1354</f>
        <v>95206.743432631425</v>
      </c>
      <c r="J1354" s="792">
        <f t="shared" si="124"/>
        <v>0</v>
      </c>
      <c r="K1354" s="792"/>
      <c r="L1354" s="812"/>
      <c r="M1354" s="792">
        <f t="shared" si="118"/>
        <v>0</v>
      </c>
      <c r="N1354" s="812"/>
      <c r="O1354" s="792">
        <f t="shared" si="119"/>
        <v>0</v>
      </c>
      <c r="P1354" s="792">
        <f t="shared" si="120"/>
        <v>0</v>
      </c>
    </row>
    <row r="1355" spans="3:16">
      <c r="C1355" s="788">
        <f>IF(D1313="","-",+C1354+1)</f>
        <v>2051</v>
      </c>
      <c r="D1355" s="736">
        <f t="shared" si="121"/>
        <v>0</v>
      </c>
      <c r="E1355" s="789">
        <f t="shared" si="123"/>
        <v>0</v>
      </c>
      <c r="F1355" s="789">
        <f t="shared" si="117"/>
        <v>0</v>
      </c>
      <c r="G1355" s="736">
        <f t="shared" si="122"/>
        <v>0</v>
      </c>
      <c r="H1355" s="794">
        <f>+J1314*G1355+E1355</f>
        <v>0</v>
      </c>
      <c r="I1355" s="795">
        <f>+J1315*G1355+E1355</f>
        <v>0</v>
      </c>
      <c r="J1355" s="792">
        <f t="shared" si="124"/>
        <v>0</v>
      </c>
      <c r="K1355" s="792"/>
      <c r="L1355" s="812"/>
      <c r="M1355" s="792">
        <f t="shared" si="118"/>
        <v>0</v>
      </c>
      <c r="N1355" s="812"/>
      <c r="O1355" s="792">
        <f t="shared" si="119"/>
        <v>0</v>
      </c>
      <c r="P1355" s="792">
        <f t="shared" si="120"/>
        <v>0</v>
      </c>
    </row>
    <row r="1356" spans="3:16">
      <c r="C1356" s="788">
        <f>IF(D1313="","-",+C1355+1)</f>
        <v>2052</v>
      </c>
      <c r="D1356" s="736">
        <f t="shared" si="121"/>
        <v>0</v>
      </c>
      <c r="E1356" s="789">
        <f t="shared" si="123"/>
        <v>0</v>
      </c>
      <c r="F1356" s="789">
        <f t="shared" si="117"/>
        <v>0</v>
      </c>
      <c r="G1356" s="736">
        <f t="shared" si="122"/>
        <v>0</v>
      </c>
      <c r="H1356" s="794">
        <f>+J1314*G1356+E1356</f>
        <v>0</v>
      </c>
      <c r="I1356" s="795">
        <f>+J1315*G1356+E1356</f>
        <v>0</v>
      </c>
      <c r="J1356" s="792">
        <f t="shared" si="124"/>
        <v>0</v>
      </c>
      <c r="K1356" s="792"/>
      <c r="L1356" s="812"/>
      <c r="M1356" s="792">
        <f t="shared" si="118"/>
        <v>0</v>
      </c>
      <c r="N1356" s="812"/>
      <c r="O1356" s="792">
        <f t="shared" si="119"/>
        <v>0</v>
      </c>
      <c r="P1356" s="792">
        <f t="shared" si="120"/>
        <v>0</v>
      </c>
    </row>
    <row r="1357" spans="3:16">
      <c r="C1357" s="788">
        <f>IF(D1313="","-",+C1356+1)</f>
        <v>2053</v>
      </c>
      <c r="D1357" s="736">
        <f t="shared" si="121"/>
        <v>0</v>
      </c>
      <c r="E1357" s="789">
        <f t="shared" si="123"/>
        <v>0</v>
      </c>
      <c r="F1357" s="789">
        <f t="shared" si="117"/>
        <v>0</v>
      </c>
      <c r="G1357" s="736">
        <f t="shared" si="122"/>
        <v>0</v>
      </c>
      <c r="H1357" s="794">
        <f>+J1314*G1357+E1357</f>
        <v>0</v>
      </c>
      <c r="I1357" s="795">
        <f>+J1315*G1357+E1357</f>
        <v>0</v>
      </c>
      <c r="J1357" s="792">
        <f t="shared" si="124"/>
        <v>0</v>
      </c>
      <c r="K1357" s="792"/>
      <c r="L1357" s="812"/>
      <c r="M1357" s="792">
        <f t="shared" si="118"/>
        <v>0</v>
      </c>
      <c r="N1357" s="812"/>
      <c r="O1357" s="792">
        <f t="shared" si="119"/>
        <v>0</v>
      </c>
      <c r="P1357" s="792">
        <f t="shared" si="120"/>
        <v>0</v>
      </c>
    </row>
    <row r="1358" spans="3:16">
      <c r="C1358" s="788">
        <f>IF(D1313="","-",+C1357+1)</f>
        <v>2054</v>
      </c>
      <c r="D1358" s="736">
        <f t="shared" si="121"/>
        <v>0</v>
      </c>
      <c r="E1358" s="789">
        <f t="shared" si="123"/>
        <v>0</v>
      </c>
      <c r="F1358" s="789">
        <f t="shared" si="117"/>
        <v>0</v>
      </c>
      <c r="G1358" s="736">
        <f t="shared" si="122"/>
        <v>0</v>
      </c>
      <c r="H1358" s="794">
        <f>+J1314*G1358+E1358</f>
        <v>0</v>
      </c>
      <c r="I1358" s="795">
        <f>+J1315*G1358+E1358</f>
        <v>0</v>
      </c>
      <c r="J1358" s="792">
        <f t="shared" si="124"/>
        <v>0</v>
      </c>
      <c r="K1358" s="792"/>
      <c r="L1358" s="812"/>
      <c r="M1358" s="792">
        <f t="shared" si="118"/>
        <v>0</v>
      </c>
      <c r="N1358" s="812"/>
      <c r="O1358" s="792">
        <f t="shared" si="119"/>
        <v>0</v>
      </c>
      <c r="P1358" s="792">
        <f t="shared" si="120"/>
        <v>0</v>
      </c>
    </row>
    <row r="1359" spans="3:16">
      <c r="C1359" s="788">
        <f>IF(D1313="","-",+C1358+1)</f>
        <v>2055</v>
      </c>
      <c r="D1359" s="736">
        <f t="shared" si="121"/>
        <v>0</v>
      </c>
      <c r="E1359" s="789">
        <f t="shared" si="123"/>
        <v>0</v>
      </c>
      <c r="F1359" s="789">
        <f t="shared" si="117"/>
        <v>0</v>
      </c>
      <c r="G1359" s="736">
        <f t="shared" si="122"/>
        <v>0</v>
      </c>
      <c r="H1359" s="794">
        <f>+J1314*G1359+E1359</f>
        <v>0</v>
      </c>
      <c r="I1359" s="795">
        <f>+J1315*G1359+E1359</f>
        <v>0</v>
      </c>
      <c r="J1359" s="792">
        <f t="shared" si="124"/>
        <v>0</v>
      </c>
      <c r="K1359" s="792"/>
      <c r="L1359" s="812"/>
      <c r="M1359" s="792">
        <f t="shared" si="118"/>
        <v>0</v>
      </c>
      <c r="N1359" s="812"/>
      <c r="O1359" s="792">
        <f t="shared" si="119"/>
        <v>0</v>
      </c>
      <c r="P1359" s="792">
        <f t="shared" si="120"/>
        <v>0</v>
      </c>
    </row>
    <row r="1360" spans="3:16">
      <c r="C1360" s="788">
        <f>IF(D1313="","-",+C1359+1)</f>
        <v>2056</v>
      </c>
      <c r="D1360" s="736">
        <f t="shared" si="121"/>
        <v>0</v>
      </c>
      <c r="E1360" s="789">
        <f t="shared" si="123"/>
        <v>0</v>
      </c>
      <c r="F1360" s="789">
        <f t="shared" si="117"/>
        <v>0</v>
      </c>
      <c r="G1360" s="736">
        <f t="shared" si="122"/>
        <v>0</v>
      </c>
      <c r="H1360" s="794">
        <f>+J1314*G1360+E1360</f>
        <v>0</v>
      </c>
      <c r="I1360" s="795">
        <f>+J1315*G1360+E1360</f>
        <v>0</v>
      </c>
      <c r="J1360" s="792">
        <f t="shared" si="124"/>
        <v>0</v>
      </c>
      <c r="K1360" s="792"/>
      <c r="L1360" s="812"/>
      <c r="M1360" s="792">
        <f t="shared" si="118"/>
        <v>0</v>
      </c>
      <c r="N1360" s="812"/>
      <c r="O1360" s="792">
        <f t="shared" si="119"/>
        <v>0</v>
      </c>
      <c r="P1360" s="792">
        <f t="shared" si="120"/>
        <v>0</v>
      </c>
    </row>
    <row r="1361" spans="3:16">
      <c r="C1361" s="788">
        <f>IF(D1313="","-",+C1360+1)</f>
        <v>2057</v>
      </c>
      <c r="D1361" s="736">
        <f t="shared" si="121"/>
        <v>0</v>
      </c>
      <c r="E1361" s="789">
        <f t="shared" si="123"/>
        <v>0</v>
      </c>
      <c r="F1361" s="789">
        <f t="shared" si="117"/>
        <v>0</v>
      </c>
      <c r="G1361" s="736">
        <f t="shared" si="122"/>
        <v>0</v>
      </c>
      <c r="H1361" s="794">
        <f>+J1314*G1361+E1361</f>
        <v>0</v>
      </c>
      <c r="I1361" s="795">
        <f>+J1315*G1361+E1361</f>
        <v>0</v>
      </c>
      <c r="J1361" s="792">
        <f t="shared" si="124"/>
        <v>0</v>
      </c>
      <c r="K1361" s="792"/>
      <c r="L1361" s="812"/>
      <c r="M1361" s="792">
        <f t="shared" si="118"/>
        <v>0</v>
      </c>
      <c r="N1361" s="812"/>
      <c r="O1361" s="792">
        <f t="shared" si="119"/>
        <v>0</v>
      </c>
      <c r="P1361" s="792">
        <f t="shared" si="120"/>
        <v>0</v>
      </c>
    </row>
    <row r="1362" spans="3:16">
      <c r="C1362" s="788">
        <f>IF(D1313="","-",+C1361+1)</f>
        <v>2058</v>
      </c>
      <c r="D1362" s="736">
        <f t="shared" si="121"/>
        <v>0</v>
      </c>
      <c r="E1362" s="789">
        <f t="shared" si="123"/>
        <v>0</v>
      </c>
      <c r="F1362" s="789">
        <f t="shared" si="117"/>
        <v>0</v>
      </c>
      <c r="G1362" s="736">
        <f t="shared" si="122"/>
        <v>0</v>
      </c>
      <c r="H1362" s="794">
        <f>+J1314*G1362+E1362</f>
        <v>0</v>
      </c>
      <c r="I1362" s="795">
        <f>+J1315*G1362+E1362</f>
        <v>0</v>
      </c>
      <c r="J1362" s="792">
        <f t="shared" si="124"/>
        <v>0</v>
      </c>
      <c r="K1362" s="792"/>
      <c r="L1362" s="812"/>
      <c r="M1362" s="792">
        <f t="shared" si="118"/>
        <v>0</v>
      </c>
      <c r="N1362" s="812"/>
      <c r="O1362" s="792">
        <f t="shared" si="119"/>
        <v>0</v>
      </c>
      <c r="P1362" s="792">
        <f t="shared" si="120"/>
        <v>0</v>
      </c>
    </row>
    <row r="1363" spans="3:16">
      <c r="C1363" s="788">
        <f>IF(D1313="","-",+C1362+1)</f>
        <v>2059</v>
      </c>
      <c r="D1363" s="736">
        <f t="shared" si="121"/>
        <v>0</v>
      </c>
      <c r="E1363" s="789">
        <f t="shared" si="123"/>
        <v>0</v>
      </c>
      <c r="F1363" s="789">
        <f t="shared" si="117"/>
        <v>0</v>
      </c>
      <c r="G1363" s="736">
        <f t="shared" si="122"/>
        <v>0</v>
      </c>
      <c r="H1363" s="794">
        <f>+J1314*G1363+E1363</f>
        <v>0</v>
      </c>
      <c r="I1363" s="795">
        <f>+J1315*G1363+E1363</f>
        <v>0</v>
      </c>
      <c r="J1363" s="792">
        <f t="shared" si="124"/>
        <v>0</v>
      </c>
      <c r="K1363" s="792"/>
      <c r="L1363" s="812"/>
      <c r="M1363" s="792">
        <f t="shared" si="118"/>
        <v>0</v>
      </c>
      <c r="N1363" s="812"/>
      <c r="O1363" s="792">
        <f t="shared" si="119"/>
        <v>0</v>
      </c>
      <c r="P1363" s="792">
        <f t="shared" si="120"/>
        <v>0</v>
      </c>
    </row>
    <row r="1364" spans="3:16">
      <c r="C1364" s="788">
        <f>IF(D1313="","-",+C1363+1)</f>
        <v>2060</v>
      </c>
      <c r="D1364" s="736">
        <f t="shared" si="121"/>
        <v>0</v>
      </c>
      <c r="E1364" s="789">
        <f t="shared" si="123"/>
        <v>0</v>
      </c>
      <c r="F1364" s="789">
        <f t="shared" si="117"/>
        <v>0</v>
      </c>
      <c r="G1364" s="736">
        <f t="shared" si="122"/>
        <v>0</v>
      </c>
      <c r="H1364" s="794">
        <f>+J1314*G1364+E1364</f>
        <v>0</v>
      </c>
      <c r="I1364" s="795">
        <f>+J1315*G1364+E1364</f>
        <v>0</v>
      </c>
      <c r="J1364" s="792">
        <f t="shared" si="124"/>
        <v>0</v>
      </c>
      <c r="K1364" s="792"/>
      <c r="L1364" s="812"/>
      <c r="M1364" s="792">
        <f t="shared" si="118"/>
        <v>0</v>
      </c>
      <c r="N1364" s="812"/>
      <c r="O1364" s="792">
        <f t="shared" si="119"/>
        <v>0</v>
      </c>
      <c r="P1364" s="792">
        <f t="shared" si="120"/>
        <v>0</v>
      </c>
    </row>
    <row r="1365" spans="3:16">
      <c r="C1365" s="788">
        <f>IF(D1313="","-",+C1364+1)</f>
        <v>2061</v>
      </c>
      <c r="D1365" s="736">
        <f t="shared" si="121"/>
        <v>0</v>
      </c>
      <c r="E1365" s="789">
        <f t="shared" si="123"/>
        <v>0</v>
      </c>
      <c r="F1365" s="789">
        <f t="shared" si="117"/>
        <v>0</v>
      </c>
      <c r="G1365" s="736">
        <f t="shared" si="122"/>
        <v>0</v>
      </c>
      <c r="H1365" s="794">
        <f>+J1314*G1365+E1365</f>
        <v>0</v>
      </c>
      <c r="I1365" s="795">
        <f>+J1315*G1365+E1365</f>
        <v>0</v>
      </c>
      <c r="J1365" s="792">
        <f t="shared" si="124"/>
        <v>0</v>
      </c>
      <c r="K1365" s="792"/>
      <c r="L1365" s="812"/>
      <c r="M1365" s="792">
        <f t="shared" si="118"/>
        <v>0</v>
      </c>
      <c r="N1365" s="812"/>
      <c r="O1365" s="792">
        <f t="shared" si="119"/>
        <v>0</v>
      </c>
      <c r="P1365" s="792">
        <f t="shared" si="120"/>
        <v>0</v>
      </c>
    </row>
    <row r="1366" spans="3:16">
      <c r="C1366" s="788">
        <f>IF(D1313="","-",+C1365+1)</f>
        <v>2062</v>
      </c>
      <c r="D1366" s="736">
        <f t="shared" si="121"/>
        <v>0</v>
      </c>
      <c r="E1366" s="789">
        <f t="shared" si="123"/>
        <v>0</v>
      </c>
      <c r="F1366" s="789">
        <f t="shared" si="117"/>
        <v>0</v>
      </c>
      <c r="G1366" s="736">
        <f t="shared" si="122"/>
        <v>0</v>
      </c>
      <c r="H1366" s="794">
        <f>+J1314*G1366+E1366</f>
        <v>0</v>
      </c>
      <c r="I1366" s="795">
        <f>+J1315*G1366+E1366</f>
        <v>0</v>
      </c>
      <c r="J1366" s="792">
        <f t="shared" si="124"/>
        <v>0</v>
      </c>
      <c r="K1366" s="792"/>
      <c r="L1366" s="812"/>
      <c r="M1366" s="792">
        <f t="shared" si="118"/>
        <v>0</v>
      </c>
      <c r="N1366" s="812"/>
      <c r="O1366" s="792">
        <f t="shared" si="119"/>
        <v>0</v>
      </c>
      <c r="P1366" s="792">
        <f t="shared" si="120"/>
        <v>0</v>
      </c>
    </row>
    <row r="1367" spans="3:16">
      <c r="C1367" s="788">
        <f>IF(D1313="","-",+C1366+1)</f>
        <v>2063</v>
      </c>
      <c r="D1367" s="736">
        <f t="shared" si="121"/>
        <v>0</v>
      </c>
      <c r="E1367" s="789">
        <f t="shared" si="123"/>
        <v>0</v>
      </c>
      <c r="F1367" s="789">
        <f t="shared" si="117"/>
        <v>0</v>
      </c>
      <c r="G1367" s="736">
        <f t="shared" si="122"/>
        <v>0</v>
      </c>
      <c r="H1367" s="794">
        <f>+J1314*G1367+E1367</f>
        <v>0</v>
      </c>
      <c r="I1367" s="795">
        <f>+J1315*G1367+E1367</f>
        <v>0</v>
      </c>
      <c r="J1367" s="792">
        <f t="shared" si="124"/>
        <v>0</v>
      </c>
      <c r="K1367" s="792"/>
      <c r="L1367" s="812"/>
      <c r="M1367" s="792">
        <f t="shared" si="118"/>
        <v>0</v>
      </c>
      <c r="N1367" s="812"/>
      <c r="O1367" s="792">
        <f t="shared" si="119"/>
        <v>0</v>
      </c>
      <c r="P1367" s="792">
        <f t="shared" si="120"/>
        <v>0</v>
      </c>
    </row>
    <row r="1368" spans="3:16">
      <c r="C1368" s="788">
        <f>IF(D1313="","-",+C1367+1)</f>
        <v>2064</v>
      </c>
      <c r="D1368" s="736">
        <f t="shared" si="121"/>
        <v>0</v>
      </c>
      <c r="E1368" s="789">
        <f t="shared" si="123"/>
        <v>0</v>
      </c>
      <c r="F1368" s="789">
        <f t="shared" si="117"/>
        <v>0</v>
      </c>
      <c r="G1368" s="736">
        <f t="shared" si="122"/>
        <v>0</v>
      </c>
      <c r="H1368" s="794">
        <f>+J1314*G1368+E1368</f>
        <v>0</v>
      </c>
      <c r="I1368" s="795">
        <f>+J1315*G1368+E1368</f>
        <v>0</v>
      </c>
      <c r="J1368" s="792">
        <f t="shared" si="124"/>
        <v>0</v>
      </c>
      <c r="K1368" s="792"/>
      <c r="L1368" s="812"/>
      <c r="M1368" s="792">
        <f t="shared" si="118"/>
        <v>0</v>
      </c>
      <c r="N1368" s="812"/>
      <c r="O1368" s="792">
        <f t="shared" si="119"/>
        <v>0</v>
      </c>
      <c r="P1368" s="792">
        <f t="shared" si="120"/>
        <v>0</v>
      </c>
    </row>
    <row r="1369" spans="3:16">
      <c r="C1369" s="788">
        <f>IF(D1313="","-",+C1368+1)</f>
        <v>2065</v>
      </c>
      <c r="D1369" s="736">
        <f t="shared" si="121"/>
        <v>0</v>
      </c>
      <c r="E1369" s="789">
        <f t="shared" si="123"/>
        <v>0</v>
      </c>
      <c r="F1369" s="789">
        <f t="shared" si="117"/>
        <v>0</v>
      </c>
      <c r="G1369" s="736">
        <f t="shared" si="122"/>
        <v>0</v>
      </c>
      <c r="H1369" s="794">
        <f>+J1314*G1369+E1369</f>
        <v>0</v>
      </c>
      <c r="I1369" s="795">
        <f>+J1315*G1369+E1369</f>
        <v>0</v>
      </c>
      <c r="J1369" s="792">
        <f t="shared" si="124"/>
        <v>0</v>
      </c>
      <c r="K1369" s="792"/>
      <c r="L1369" s="812"/>
      <c r="M1369" s="792">
        <f t="shared" si="118"/>
        <v>0</v>
      </c>
      <c r="N1369" s="812"/>
      <c r="O1369" s="792">
        <f t="shared" si="119"/>
        <v>0</v>
      </c>
      <c r="P1369" s="792">
        <f t="shared" si="120"/>
        <v>0</v>
      </c>
    </row>
    <row r="1370" spans="3:16">
      <c r="C1370" s="788">
        <f>IF(D1313="","-",+C1369+1)</f>
        <v>2066</v>
      </c>
      <c r="D1370" s="736">
        <f t="shared" si="121"/>
        <v>0</v>
      </c>
      <c r="E1370" s="789">
        <f t="shared" si="123"/>
        <v>0</v>
      </c>
      <c r="F1370" s="789">
        <f t="shared" si="117"/>
        <v>0</v>
      </c>
      <c r="G1370" s="736">
        <f t="shared" si="122"/>
        <v>0</v>
      </c>
      <c r="H1370" s="794">
        <f>+J1314*G1370+E1370</f>
        <v>0</v>
      </c>
      <c r="I1370" s="795">
        <f>+J1315*G1370+E1370</f>
        <v>0</v>
      </c>
      <c r="J1370" s="792">
        <f t="shared" si="124"/>
        <v>0</v>
      </c>
      <c r="K1370" s="792"/>
      <c r="L1370" s="812"/>
      <c r="M1370" s="792">
        <f t="shared" si="118"/>
        <v>0</v>
      </c>
      <c r="N1370" s="812"/>
      <c r="O1370" s="792">
        <f t="shared" si="119"/>
        <v>0</v>
      </c>
      <c r="P1370" s="792">
        <f t="shared" si="120"/>
        <v>0</v>
      </c>
    </row>
    <row r="1371" spans="3:16">
      <c r="C1371" s="788">
        <f>IF(D1313="","-",+C1370+1)</f>
        <v>2067</v>
      </c>
      <c r="D1371" s="736">
        <f t="shared" si="121"/>
        <v>0</v>
      </c>
      <c r="E1371" s="789">
        <f t="shared" si="123"/>
        <v>0</v>
      </c>
      <c r="F1371" s="789">
        <f t="shared" si="117"/>
        <v>0</v>
      </c>
      <c r="G1371" s="736">
        <f t="shared" si="122"/>
        <v>0</v>
      </c>
      <c r="H1371" s="794">
        <f>+J1314*G1371+E1371</f>
        <v>0</v>
      </c>
      <c r="I1371" s="795">
        <f>+J1315*G1371+E1371</f>
        <v>0</v>
      </c>
      <c r="J1371" s="792">
        <f t="shared" si="124"/>
        <v>0</v>
      </c>
      <c r="K1371" s="792"/>
      <c r="L1371" s="812"/>
      <c r="M1371" s="792">
        <f t="shared" si="118"/>
        <v>0</v>
      </c>
      <c r="N1371" s="812"/>
      <c r="O1371" s="792">
        <f t="shared" si="119"/>
        <v>0</v>
      </c>
      <c r="P1371" s="792">
        <f t="shared" si="120"/>
        <v>0</v>
      </c>
    </row>
    <row r="1372" spans="3:16">
      <c r="C1372" s="788">
        <f>IF(D1313="","-",+C1371+1)</f>
        <v>2068</v>
      </c>
      <c r="D1372" s="736">
        <f t="shared" si="121"/>
        <v>0</v>
      </c>
      <c r="E1372" s="789">
        <f t="shared" si="123"/>
        <v>0</v>
      </c>
      <c r="F1372" s="789">
        <f t="shared" si="117"/>
        <v>0</v>
      </c>
      <c r="G1372" s="736">
        <f t="shared" si="122"/>
        <v>0</v>
      </c>
      <c r="H1372" s="794">
        <f>+J1314*G1372+E1372</f>
        <v>0</v>
      </c>
      <c r="I1372" s="795">
        <f>+J1315*G1372+E1372</f>
        <v>0</v>
      </c>
      <c r="J1372" s="792">
        <f t="shared" si="124"/>
        <v>0</v>
      </c>
      <c r="K1372" s="792"/>
      <c r="L1372" s="812"/>
      <c r="M1372" s="792">
        <f t="shared" si="118"/>
        <v>0</v>
      </c>
      <c r="N1372" s="812"/>
      <c r="O1372" s="792">
        <f t="shared" si="119"/>
        <v>0</v>
      </c>
      <c r="P1372" s="792">
        <f t="shared" si="120"/>
        <v>0</v>
      </c>
    </row>
    <row r="1373" spans="3:16">
      <c r="C1373" s="788">
        <f>IF(D1313="","-",+C1372+1)</f>
        <v>2069</v>
      </c>
      <c r="D1373" s="736">
        <f t="shared" si="121"/>
        <v>0</v>
      </c>
      <c r="E1373" s="789">
        <f t="shared" si="123"/>
        <v>0</v>
      </c>
      <c r="F1373" s="789">
        <f t="shared" si="117"/>
        <v>0</v>
      </c>
      <c r="G1373" s="736">
        <f t="shared" si="122"/>
        <v>0</v>
      </c>
      <c r="H1373" s="794">
        <f>+J1314*G1373+E1373</f>
        <v>0</v>
      </c>
      <c r="I1373" s="795">
        <f>+J1315*G1373+E1373</f>
        <v>0</v>
      </c>
      <c r="J1373" s="792">
        <f t="shared" si="124"/>
        <v>0</v>
      </c>
      <c r="K1373" s="792"/>
      <c r="L1373" s="812"/>
      <c r="M1373" s="792">
        <f t="shared" si="118"/>
        <v>0</v>
      </c>
      <c r="N1373" s="812"/>
      <c r="O1373" s="792">
        <f t="shared" si="119"/>
        <v>0</v>
      </c>
      <c r="P1373" s="792">
        <f t="shared" si="120"/>
        <v>0</v>
      </c>
    </row>
    <row r="1374" spans="3:16">
      <c r="C1374" s="788">
        <f>IF(D1313="","-",+C1373+1)</f>
        <v>2070</v>
      </c>
      <c r="D1374" s="736">
        <f t="shared" si="121"/>
        <v>0</v>
      </c>
      <c r="E1374" s="789">
        <f t="shared" si="123"/>
        <v>0</v>
      </c>
      <c r="F1374" s="789">
        <f t="shared" si="117"/>
        <v>0</v>
      </c>
      <c r="G1374" s="736">
        <f t="shared" si="122"/>
        <v>0</v>
      </c>
      <c r="H1374" s="794">
        <f>+J1314*G1374+E1374</f>
        <v>0</v>
      </c>
      <c r="I1374" s="795">
        <f>+J1315*G1374+E1374</f>
        <v>0</v>
      </c>
      <c r="J1374" s="792">
        <f t="shared" si="124"/>
        <v>0</v>
      </c>
      <c r="K1374" s="792"/>
      <c r="L1374" s="812"/>
      <c r="M1374" s="792">
        <f t="shared" si="118"/>
        <v>0</v>
      </c>
      <c r="N1374" s="812"/>
      <c r="O1374" s="792">
        <f t="shared" si="119"/>
        <v>0</v>
      </c>
      <c r="P1374" s="792">
        <f t="shared" si="120"/>
        <v>0</v>
      </c>
    </row>
    <row r="1375" spans="3:16">
      <c r="C1375" s="788">
        <f>IF(D1313="","-",+C1374+1)</f>
        <v>2071</v>
      </c>
      <c r="D1375" s="736">
        <f t="shared" si="121"/>
        <v>0</v>
      </c>
      <c r="E1375" s="789">
        <f t="shared" si="123"/>
        <v>0</v>
      </c>
      <c r="F1375" s="789">
        <f t="shared" si="117"/>
        <v>0</v>
      </c>
      <c r="G1375" s="736">
        <f t="shared" si="122"/>
        <v>0</v>
      </c>
      <c r="H1375" s="794">
        <f>+J1314*G1375+E1375</f>
        <v>0</v>
      </c>
      <c r="I1375" s="795">
        <f>+J1315*G1375+E1375</f>
        <v>0</v>
      </c>
      <c r="J1375" s="792">
        <f t="shared" si="124"/>
        <v>0</v>
      </c>
      <c r="K1375" s="792"/>
      <c r="L1375" s="812"/>
      <c r="M1375" s="792">
        <f t="shared" si="118"/>
        <v>0</v>
      </c>
      <c r="N1375" s="812"/>
      <c r="O1375" s="792">
        <f t="shared" si="119"/>
        <v>0</v>
      </c>
      <c r="P1375" s="792">
        <f t="shared" si="120"/>
        <v>0</v>
      </c>
    </row>
    <row r="1376" spans="3:16">
      <c r="C1376" s="788">
        <f>IF(D1313="","-",+C1375+1)</f>
        <v>2072</v>
      </c>
      <c r="D1376" s="736">
        <f t="shared" si="121"/>
        <v>0</v>
      </c>
      <c r="E1376" s="789">
        <f t="shared" si="123"/>
        <v>0</v>
      </c>
      <c r="F1376" s="789">
        <f t="shared" si="117"/>
        <v>0</v>
      </c>
      <c r="G1376" s="736">
        <f t="shared" si="122"/>
        <v>0</v>
      </c>
      <c r="H1376" s="794">
        <f>+J1314*G1376+E1376</f>
        <v>0</v>
      </c>
      <c r="I1376" s="795">
        <f>+J1315*G1376+E1376</f>
        <v>0</v>
      </c>
      <c r="J1376" s="792">
        <f t="shared" si="124"/>
        <v>0</v>
      </c>
      <c r="K1376" s="792"/>
      <c r="L1376" s="812"/>
      <c r="M1376" s="792">
        <f t="shared" si="118"/>
        <v>0</v>
      </c>
      <c r="N1376" s="812"/>
      <c r="O1376" s="792">
        <f t="shared" si="119"/>
        <v>0</v>
      </c>
      <c r="P1376" s="792">
        <f t="shared" si="120"/>
        <v>0</v>
      </c>
    </row>
    <row r="1377" spans="1:17">
      <c r="C1377" s="788">
        <f>IF(D1313="","-",+C1376+1)</f>
        <v>2073</v>
      </c>
      <c r="D1377" s="736">
        <f t="shared" si="121"/>
        <v>0</v>
      </c>
      <c r="E1377" s="789">
        <f t="shared" si="123"/>
        <v>0</v>
      </c>
      <c r="F1377" s="789">
        <f t="shared" si="117"/>
        <v>0</v>
      </c>
      <c r="G1377" s="736">
        <f t="shared" si="122"/>
        <v>0</v>
      </c>
      <c r="H1377" s="794">
        <f>+J1314*G1377+E1377</f>
        <v>0</v>
      </c>
      <c r="I1377" s="795">
        <f>+J1315*G1377+E1377</f>
        <v>0</v>
      </c>
      <c r="J1377" s="792">
        <f t="shared" si="124"/>
        <v>0</v>
      </c>
      <c r="K1377" s="792"/>
      <c r="L1377" s="812"/>
      <c r="M1377" s="792">
        <f t="shared" si="118"/>
        <v>0</v>
      </c>
      <c r="N1377" s="812"/>
      <c r="O1377" s="792">
        <f t="shared" si="119"/>
        <v>0</v>
      </c>
      <c r="P1377" s="792">
        <f t="shared" si="120"/>
        <v>0</v>
      </c>
    </row>
    <row r="1378" spans="1:17" ht="13.5" thickBot="1">
      <c r="C1378" s="798">
        <f>IF(D1313="","-",+C1377+1)</f>
        <v>2074</v>
      </c>
      <c r="D1378" s="799">
        <f t="shared" si="121"/>
        <v>0</v>
      </c>
      <c r="E1378" s="800">
        <f t="shared" si="123"/>
        <v>0</v>
      </c>
      <c r="F1378" s="1322">
        <f t="shared" si="117"/>
        <v>0</v>
      </c>
      <c r="G1378" s="799">
        <f t="shared" si="122"/>
        <v>0</v>
      </c>
      <c r="H1378" s="801">
        <f>+J1314*G1378+E1378</f>
        <v>0</v>
      </c>
      <c r="I1378" s="801">
        <f>+J1315*G1378+E1378</f>
        <v>0</v>
      </c>
      <c r="J1378" s="802">
        <f t="shared" si="124"/>
        <v>0</v>
      </c>
      <c r="K1378" s="792"/>
      <c r="L1378" s="813"/>
      <c r="M1378" s="802">
        <f t="shared" si="118"/>
        <v>0</v>
      </c>
      <c r="N1378" s="813"/>
      <c r="O1378" s="802">
        <f t="shared" si="119"/>
        <v>0</v>
      </c>
      <c r="P1378" s="802">
        <f t="shared" si="120"/>
        <v>0</v>
      </c>
    </row>
    <row r="1379" spans="1:17">
      <c r="C1379" s="736" t="s">
        <v>83</v>
      </c>
      <c r="D1379" s="730"/>
      <c r="E1379" s="730">
        <f>SUM(E1319:E1378)</f>
        <v>6215397.6500000004</v>
      </c>
      <c r="F1379" s="730"/>
      <c r="G1379" s="730"/>
      <c r="H1379" s="730">
        <f>SUM(H1319:H1378)</f>
        <v>22382075.700232316</v>
      </c>
      <c r="I1379" s="730">
        <f>SUM(I1319:I1378)</f>
        <v>22382075.700232316</v>
      </c>
      <c r="J1379" s="730">
        <f>SUM(J1319:J1378)</f>
        <v>0</v>
      </c>
      <c r="K1379" s="730"/>
      <c r="L1379" s="730"/>
      <c r="M1379" s="730"/>
      <c r="N1379" s="730"/>
      <c r="O1379" s="730"/>
    </row>
    <row r="1380" spans="1:17">
      <c r="D1380" s="538"/>
      <c r="E1380" s="313"/>
      <c r="F1380" s="313"/>
      <c r="G1380" s="313"/>
      <c r="H1380" s="313"/>
      <c r="I1380" s="708"/>
      <c r="J1380" s="708"/>
      <c r="K1380" s="730"/>
      <c r="L1380" s="708"/>
      <c r="M1380" s="708"/>
      <c r="N1380" s="708"/>
      <c r="O1380" s="708"/>
    </row>
    <row r="1381" spans="1:17">
      <c r="C1381" s="313" t="s">
        <v>13</v>
      </c>
      <c r="D1381" s="538"/>
      <c r="E1381" s="313"/>
      <c r="F1381" s="313"/>
      <c r="G1381" s="313"/>
      <c r="H1381" s="313"/>
      <c r="I1381" s="708"/>
      <c r="J1381" s="708"/>
      <c r="K1381" s="730"/>
      <c r="L1381" s="708"/>
      <c r="M1381" s="708"/>
      <c r="N1381" s="708"/>
      <c r="O1381" s="708"/>
    </row>
    <row r="1382" spans="1:17">
      <c r="C1382" s="313"/>
      <c r="D1382" s="538"/>
      <c r="E1382" s="313"/>
      <c r="F1382" s="313"/>
      <c r="G1382" s="313"/>
      <c r="H1382" s="313"/>
      <c r="I1382" s="708"/>
      <c r="J1382" s="708"/>
      <c r="K1382" s="730"/>
      <c r="L1382" s="708"/>
      <c r="M1382" s="708"/>
      <c r="N1382" s="708"/>
      <c r="O1382" s="708"/>
    </row>
    <row r="1383" spans="1:17">
      <c r="C1383" s="749" t="s">
        <v>14</v>
      </c>
      <c r="D1383" s="736"/>
      <c r="E1383" s="736"/>
      <c r="F1383" s="736"/>
      <c r="G1383" s="736"/>
      <c r="H1383" s="730"/>
      <c r="I1383" s="730"/>
      <c r="J1383" s="804"/>
      <c r="K1383" s="804"/>
      <c r="L1383" s="804"/>
      <c r="M1383" s="804"/>
      <c r="N1383" s="804"/>
      <c r="O1383" s="804"/>
    </row>
    <row r="1384" spans="1:17">
      <c r="C1384" s="735" t="s">
        <v>263</v>
      </c>
      <c r="D1384" s="736"/>
      <c r="E1384" s="736"/>
      <c r="F1384" s="736"/>
      <c r="G1384" s="736"/>
      <c r="H1384" s="730"/>
      <c r="I1384" s="730"/>
      <c r="J1384" s="804"/>
      <c r="K1384" s="804"/>
      <c r="L1384" s="804"/>
      <c r="M1384" s="804"/>
      <c r="N1384" s="804"/>
      <c r="O1384" s="804"/>
    </row>
    <row r="1385" spans="1:17">
      <c r="C1385" s="735" t="s">
        <v>84</v>
      </c>
      <c r="D1385" s="736"/>
      <c r="E1385" s="736"/>
      <c r="F1385" s="736"/>
      <c r="G1385" s="736"/>
      <c r="H1385" s="730"/>
      <c r="I1385" s="730"/>
      <c r="J1385" s="804"/>
      <c r="K1385" s="804"/>
      <c r="L1385" s="804"/>
      <c r="M1385" s="804"/>
      <c r="N1385" s="804"/>
      <c r="O1385" s="804"/>
    </row>
    <row r="1387" spans="1:17" ht="20.25">
      <c r="A1387" s="737" t="str">
        <f>""&amp;A1311&amp;" Worksheet K -  ATRR TRUE-UP Calculation for PJM Projects Charged to Benefiting Zones"</f>
        <v xml:space="preserve"> Worksheet K -  ATRR TRUE-UP Calculation for PJM Projects Charged to Benefiting Zones</v>
      </c>
      <c r="B1387" s="347"/>
      <c r="C1387" s="725"/>
      <c r="D1387" s="538"/>
      <c r="E1387" s="313"/>
      <c r="F1387" s="707"/>
      <c r="G1387" s="707"/>
      <c r="H1387" s="313"/>
      <c r="I1387" s="708"/>
      <c r="L1387" s="564"/>
      <c r="M1387" s="564"/>
      <c r="N1387" s="564"/>
      <c r="O1387" s="653" t="str">
        <f>"Page "&amp;SUM(Q$8:Q1387)&amp;" of "</f>
        <v xml:space="preserve">Page 17 of </v>
      </c>
      <c r="P1387" s="654">
        <f>COUNT(Q$8:Q$57703)</f>
        <v>22</v>
      </c>
      <c r="Q1387" s="655">
        <v>1</v>
      </c>
    </row>
    <row r="1388" spans="1:17">
      <c r="B1388" s="347"/>
      <c r="C1388" s="313"/>
      <c r="D1388" s="538"/>
      <c r="E1388" s="313"/>
      <c r="F1388" s="313"/>
      <c r="G1388" s="313"/>
      <c r="H1388" s="313"/>
      <c r="I1388" s="708"/>
      <c r="J1388" s="313"/>
      <c r="K1388" s="426"/>
    </row>
    <row r="1389" spans="1:17" ht="18">
      <c r="B1389" s="657" t="s">
        <v>466</v>
      </c>
      <c r="C1389" s="739" t="s">
        <v>85</v>
      </c>
      <c r="D1389" s="538"/>
      <c r="E1389" s="313"/>
      <c r="F1389" s="313"/>
      <c r="G1389" s="313"/>
      <c r="H1389" s="313"/>
      <c r="I1389" s="708"/>
      <c r="J1389" s="708"/>
      <c r="K1389" s="730"/>
      <c r="L1389" s="708"/>
      <c r="M1389" s="708"/>
      <c r="N1389" s="708"/>
      <c r="O1389" s="708"/>
    </row>
    <row r="1390" spans="1:17" ht="18.75">
      <c r="B1390" s="657"/>
      <c r="C1390" s="656"/>
      <c r="D1390" s="538"/>
      <c r="E1390" s="313"/>
      <c r="F1390" s="313"/>
      <c r="G1390" s="313"/>
      <c r="H1390" s="313"/>
      <c r="I1390" s="708"/>
      <c r="J1390" s="708"/>
      <c r="K1390" s="730"/>
      <c r="L1390" s="708"/>
      <c r="M1390" s="708"/>
      <c r="N1390" s="708"/>
      <c r="O1390" s="708"/>
    </row>
    <row r="1391" spans="1:17" ht="18.75">
      <c r="B1391" s="657"/>
      <c r="C1391" s="656" t="s">
        <v>86</v>
      </c>
      <c r="D1391" s="538"/>
      <c r="E1391" s="313"/>
      <c r="F1391" s="313"/>
      <c r="G1391" s="313"/>
      <c r="H1391" s="313"/>
      <c r="I1391" s="708"/>
      <c r="J1391" s="708"/>
      <c r="K1391" s="730"/>
      <c r="L1391" s="708"/>
      <c r="M1391" s="708"/>
      <c r="N1391" s="708"/>
      <c r="O1391" s="708"/>
    </row>
    <row r="1392" spans="1:17" ht="15.75" thickBot="1">
      <c r="C1392" s="239"/>
      <c r="D1392" s="538"/>
      <c r="E1392" s="313"/>
      <c r="F1392" s="313"/>
      <c r="G1392" s="313"/>
      <c r="H1392" s="313"/>
      <c r="I1392" s="708"/>
      <c r="J1392" s="708"/>
      <c r="K1392" s="730"/>
      <c r="L1392" s="708"/>
      <c r="M1392" s="708"/>
      <c r="N1392" s="708"/>
      <c r="O1392" s="708"/>
    </row>
    <row r="1393" spans="2:16" ht="15.75">
      <c r="C1393" s="659" t="s">
        <v>87</v>
      </c>
      <c r="D1393" s="538"/>
      <c r="E1393" s="313"/>
      <c r="F1393" s="313"/>
      <c r="G1393" s="313"/>
      <c r="H1393" s="806"/>
      <c r="I1393" s="313" t="s">
        <v>66</v>
      </c>
      <c r="J1393" s="313"/>
      <c r="K1393" s="426"/>
      <c r="L1393" s="835">
        <f>+J1399</f>
        <v>2023</v>
      </c>
      <c r="M1393" s="816" t="s">
        <v>45</v>
      </c>
      <c r="N1393" s="816" t="s">
        <v>46</v>
      </c>
      <c r="O1393" s="817" t="s">
        <v>47</v>
      </c>
    </row>
    <row r="1394" spans="2:16" ht="15.75">
      <c r="C1394" s="659"/>
      <c r="D1394" s="538"/>
      <c r="E1394" s="313"/>
      <c r="F1394" s="313"/>
      <c r="H1394" s="313"/>
      <c r="I1394" s="744"/>
      <c r="J1394" s="744"/>
      <c r="K1394" s="745"/>
      <c r="L1394" s="836" t="s">
        <v>235</v>
      </c>
      <c r="M1394" s="837">
        <f>VLOOKUP(J1399,C1406:P1465,10)</f>
        <v>2699816.5317287678</v>
      </c>
      <c r="N1394" s="837">
        <f>VLOOKUP(J1399,C1406:P1465,12)</f>
        <v>2699816.5317287678</v>
      </c>
      <c r="O1394" s="838">
        <f>+N1394-M1394</f>
        <v>0</v>
      </c>
    </row>
    <row r="1395" spans="2:16" ht="12.95" customHeight="1">
      <c r="C1395" s="749" t="s">
        <v>88</v>
      </c>
      <c r="D1395" s="1537" t="s">
        <v>825</v>
      </c>
      <c r="E1395" s="1537"/>
      <c r="F1395" s="1537"/>
      <c r="G1395" s="1537"/>
      <c r="H1395" s="1537"/>
      <c r="I1395" s="1537"/>
      <c r="J1395" s="708"/>
      <c r="K1395" s="730"/>
      <c r="L1395" s="836" t="s">
        <v>236</v>
      </c>
      <c r="M1395" s="839">
        <f>VLOOKUP(J1399,C1406:P1465,6)</f>
        <v>2584868.7391303135</v>
      </c>
      <c r="N1395" s="839">
        <f>VLOOKUP(J1399,C1406:P1465,7)</f>
        <v>2584868.7391303135</v>
      </c>
      <c r="O1395" s="840">
        <f>+N1395-M1395</f>
        <v>0</v>
      </c>
    </row>
    <row r="1396" spans="2:16" ht="13.5" thickBot="1">
      <c r="C1396" s="753"/>
      <c r="D1396" s="1537"/>
      <c r="E1396" s="1537"/>
      <c r="F1396" s="1537"/>
      <c r="G1396" s="1537"/>
      <c r="H1396" s="1537"/>
      <c r="I1396" s="1537"/>
      <c r="J1396" s="708"/>
      <c r="K1396" s="730"/>
      <c r="L1396" s="772" t="s">
        <v>237</v>
      </c>
      <c r="M1396" s="841">
        <f>+M1395-M1394</f>
        <v>-114947.79259845428</v>
      </c>
      <c r="N1396" s="841">
        <f>+N1395-N1394</f>
        <v>-114947.79259845428</v>
      </c>
      <c r="O1396" s="842">
        <f>+O1395-O1394</f>
        <v>0</v>
      </c>
    </row>
    <row r="1397" spans="2:16" ht="13.5" thickBot="1">
      <c r="C1397" s="756"/>
      <c r="D1397" s="757"/>
      <c r="E1397" s="755"/>
      <c r="F1397" s="755"/>
      <c r="G1397" s="755"/>
      <c r="H1397" s="755"/>
      <c r="I1397" s="755"/>
      <c r="J1397" s="755"/>
      <c r="K1397" s="758"/>
      <c r="L1397" s="755"/>
      <c r="M1397" s="755"/>
      <c r="N1397" s="755"/>
      <c r="O1397" s="755"/>
      <c r="P1397" s="347"/>
    </row>
    <row r="1398" spans="2:16" ht="13.5" thickBot="1">
      <c r="C1398" s="759" t="s">
        <v>89</v>
      </c>
      <c r="D1398" s="760"/>
      <c r="E1398" s="760"/>
      <c r="F1398" s="760"/>
      <c r="G1398" s="760"/>
      <c r="H1398" s="760"/>
      <c r="I1398" s="760"/>
      <c r="J1398" s="760"/>
      <c r="K1398" s="762"/>
      <c r="P1398" s="763"/>
    </row>
    <row r="1399" spans="2:16" ht="15">
      <c r="C1399" s="764" t="s">
        <v>67</v>
      </c>
      <c r="D1399" s="808">
        <v>18412074.41</v>
      </c>
      <c r="E1399" s="725" t="s">
        <v>68</v>
      </c>
      <c r="H1399" s="765"/>
      <c r="I1399" s="765"/>
      <c r="J1399" s="766">
        <f>$J$93</f>
        <v>2023</v>
      </c>
      <c r="K1399" s="554"/>
      <c r="L1399" s="1536" t="s">
        <v>69</v>
      </c>
      <c r="M1399" s="1536"/>
      <c r="N1399" s="1536"/>
      <c r="O1399" s="1536"/>
      <c r="P1399" s="426"/>
    </row>
    <row r="1400" spans="2:16">
      <c r="C1400" s="764" t="s">
        <v>70</v>
      </c>
      <c r="D1400" s="809">
        <v>2015</v>
      </c>
      <c r="E1400" s="764" t="s">
        <v>71</v>
      </c>
      <c r="F1400" s="765"/>
      <c r="G1400" s="765"/>
      <c r="I1400" s="172"/>
      <c r="J1400" s="810">
        <f>IF(H1393="",0,$F$17)</f>
        <v>0</v>
      </c>
      <c r="K1400" s="767"/>
      <c r="L1400" s="730" t="s">
        <v>277</v>
      </c>
      <c r="P1400" s="426"/>
    </row>
    <row r="1401" spans="2:16">
      <c r="C1401" s="764" t="s">
        <v>72</v>
      </c>
      <c r="D1401" s="808">
        <v>7</v>
      </c>
      <c r="E1401" s="764" t="s">
        <v>73</v>
      </c>
      <c r="F1401" s="765"/>
      <c r="G1401" s="765"/>
      <c r="I1401" s="172"/>
      <c r="J1401" s="768">
        <f>$F$70</f>
        <v>0.14450383244078713</v>
      </c>
      <c r="K1401" s="769"/>
      <c r="L1401" s="313" t="str">
        <f>"          INPUT TRUE-UP ARR (WITH &amp; WITHOUT INCENTIVES) FROM EACH PRIOR YEAR"</f>
        <v xml:space="preserve">          INPUT TRUE-UP ARR (WITH &amp; WITHOUT INCENTIVES) FROM EACH PRIOR YEAR</v>
      </c>
      <c r="P1401" s="426"/>
    </row>
    <row r="1402" spans="2:16">
      <c r="C1402" s="764" t="s">
        <v>74</v>
      </c>
      <c r="D1402" s="770">
        <f>H$79</f>
        <v>35</v>
      </c>
      <c r="E1402" s="764" t="s">
        <v>75</v>
      </c>
      <c r="F1402" s="765"/>
      <c r="G1402" s="765"/>
      <c r="I1402" s="172"/>
      <c r="J1402" s="768">
        <f>IF(H1393="",+J1401,$F$69)</f>
        <v>0.14450383244078713</v>
      </c>
      <c r="K1402" s="771"/>
      <c r="L1402" s="313" t="s">
        <v>157</v>
      </c>
      <c r="M1402" s="771"/>
      <c r="N1402" s="771"/>
      <c r="O1402" s="771"/>
      <c r="P1402" s="426"/>
    </row>
    <row r="1403" spans="2:16" ht="13.5" thickBot="1">
      <c r="C1403" s="764" t="s">
        <v>76</v>
      </c>
      <c r="D1403" s="807" t="s">
        <v>808</v>
      </c>
      <c r="E1403" s="772" t="s">
        <v>77</v>
      </c>
      <c r="F1403" s="773"/>
      <c r="G1403" s="773"/>
      <c r="H1403" s="774"/>
      <c r="I1403" s="774"/>
      <c r="J1403" s="752">
        <f>IF(D1399=0,0,D1399/D1402)</f>
        <v>526059.26885714289</v>
      </c>
      <c r="K1403" s="730"/>
      <c r="L1403" s="730" t="s">
        <v>158</v>
      </c>
      <c r="M1403" s="730"/>
      <c r="N1403" s="730"/>
      <c r="O1403" s="730"/>
      <c r="P1403" s="426"/>
    </row>
    <row r="1404" spans="2:16" ht="38.25">
      <c r="B1404" s="845"/>
      <c r="C1404" s="775" t="s">
        <v>67</v>
      </c>
      <c r="D1404" s="776" t="s">
        <v>78</v>
      </c>
      <c r="E1404" s="777" t="s">
        <v>79</v>
      </c>
      <c r="F1404" s="776" t="s">
        <v>80</v>
      </c>
      <c r="G1404" s="776" t="s">
        <v>238</v>
      </c>
      <c r="H1404" s="777" t="s">
        <v>151</v>
      </c>
      <c r="I1404" s="778" t="s">
        <v>151</v>
      </c>
      <c r="J1404" s="775" t="s">
        <v>90</v>
      </c>
      <c r="K1404" s="779"/>
      <c r="L1404" s="777" t="s">
        <v>153</v>
      </c>
      <c r="M1404" s="777" t="s">
        <v>159</v>
      </c>
      <c r="N1404" s="777" t="s">
        <v>153</v>
      </c>
      <c r="O1404" s="777" t="s">
        <v>161</v>
      </c>
      <c r="P1404" s="777" t="s">
        <v>81</v>
      </c>
    </row>
    <row r="1405" spans="2:16" ht="13.5" thickBot="1">
      <c r="C1405" s="781" t="s">
        <v>469</v>
      </c>
      <c r="D1405" s="782" t="s">
        <v>470</v>
      </c>
      <c r="E1405" s="781" t="s">
        <v>363</v>
      </c>
      <c r="F1405" s="782" t="s">
        <v>470</v>
      </c>
      <c r="G1405" s="782" t="s">
        <v>470</v>
      </c>
      <c r="H1405" s="783" t="s">
        <v>93</v>
      </c>
      <c r="I1405" s="784" t="s">
        <v>95</v>
      </c>
      <c r="J1405" s="785" t="s">
        <v>15</v>
      </c>
      <c r="K1405" s="786"/>
      <c r="L1405" s="783" t="s">
        <v>82</v>
      </c>
      <c r="M1405" s="783" t="s">
        <v>82</v>
      </c>
      <c r="N1405" s="783" t="s">
        <v>255</v>
      </c>
      <c r="O1405" s="783" t="s">
        <v>255</v>
      </c>
      <c r="P1405" s="783" t="s">
        <v>255</v>
      </c>
    </row>
    <row r="1406" spans="2:16">
      <c r="C1406" s="788">
        <f>IF(D1400= "","-",D1400)</f>
        <v>2015</v>
      </c>
      <c r="D1406" s="736">
        <f>+D1399</f>
        <v>18412074.41</v>
      </c>
      <c r="E1406" s="794">
        <f>+J1403/12*(12-D1401)</f>
        <v>219191.36202380952</v>
      </c>
      <c r="F1406" s="843">
        <f t="shared" ref="F1406:F1465" si="125">+D1406-E1406</f>
        <v>18192883.047976192</v>
      </c>
      <c r="G1406" s="736">
        <f>+(D1406+F1406)/2</f>
        <v>18302478.728988096</v>
      </c>
      <c r="H1406" s="790">
        <f>+J1401*G1406+E1406</f>
        <v>2863969.6815285757</v>
      </c>
      <c r="I1406" s="791">
        <f>+J1402*G1406+E1406</f>
        <v>2863969.6815285757</v>
      </c>
      <c r="J1406" s="792">
        <f>+I1406-H1406</f>
        <v>0</v>
      </c>
      <c r="K1406" s="792"/>
      <c r="L1406" s="811">
        <v>1528116</v>
      </c>
      <c r="M1406" s="844">
        <f t="shared" ref="M1406:M1465" si="126">IF(L1406&lt;&gt;0,+H1406-L1406,0)</f>
        <v>1335853.6815285757</v>
      </c>
      <c r="N1406" s="811">
        <v>1528116</v>
      </c>
      <c r="O1406" s="844">
        <f t="shared" ref="O1406:O1465" si="127">IF(N1406&lt;&gt;0,+I1406-N1406,0)</f>
        <v>1335853.6815285757</v>
      </c>
      <c r="P1406" s="844">
        <f t="shared" ref="P1406:P1465" si="128">+O1406-M1406</f>
        <v>0</v>
      </c>
    </row>
    <row r="1407" spans="2:16">
      <c r="C1407" s="788">
        <f>IF(D1400="","-",+C1406+1)</f>
        <v>2016</v>
      </c>
      <c r="D1407" s="736">
        <f t="shared" ref="D1407:D1465" si="129">F1406</f>
        <v>18192883.047976192</v>
      </c>
      <c r="E1407" s="789">
        <f>IF(D1407&gt;$J$1403,$J$1403,D1407)</f>
        <v>526059.26885714289</v>
      </c>
      <c r="F1407" s="789">
        <f t="shared" si="125"/>
        <v>17666823.779119048</v>
      </c>
      <c r="G1407" s="736">
        <f t="shared" ref="G1407:G1465" si="130">+(D1407+F1407)/2</f>
        <v>17929853.41354762</v>
      </c>
      <c r="H1407" s="794">
        <f>+J1401*G1407+E1407</f>
        <v>3116991.8022163035</v>
      </c>
      <c r="I1407" s="795">
        <f>+J1402*G1407+E1407</f>
        <v>3116991.8022163035</v>
      </c>
      <c r="J1407" s="792">
        <f>+I1407-H1407</f>
        <v>0</v>
      </c>
      <c r="K1407" s="792"/>
      <c r="L1407" s="812">
        <v>887506</v>
      </c>
      <c r="M1407" s="792">
        <f t="shared" si="126"/>
        <v>2229485.8022163035</v>
      </c>
      <c r="N1407" s="812">
        <v>887506</v>
      </c>
      <c r="O1407" s="792">
        <f t="shared" si="127"/>
        <v>2229485.8022163035</v>
      </c>
      <c r="P1407" s="792">
        <f t="shared" si="128"/>
        <v>0</v>
      </c>
    </row>
    <row r="1408" spans="2:16">
      <c r="C1408" s="788">
        <f>IF(D1400="","-",+C1407+1)</f>
        <v>2017</v>
      </c>
      <c r="D1408" s="736">
        <f t="shared" si="129"/>
        <v>17666823.779119048</v>
      </c>
      <c r="E1408" s="789">
        <f t="shared" ref="E1408:E1464" si="131">IF(D1408&gt;$J$1403,$J$1403,D1408)</f>
        <v>526059.26885714289</v>
      </c>
      <c r="F1408" s="789">
        <f t="shared" si="125"/>
        <v>17140764.510261904</v>
      </c>
      <c r="G1408" s="736">
        <f t="shared" si="130"/>
        <v>17403794.144690476</v>
      </c>
      <c r="H1408" s="794">
        <f>+J1401*G1408+E1408</f>
        <v>3040974.2217754475</v>
      </c>
      <c r="I1408" s="795">
        <f>+J1402*G1408+E1408</f>
        <v>3040974.2217754475</v>
      </c>
      <c r="J1408" s="792">
        <f t="shared" ref="J1408:J1465" si="132">+I1408-H1408</f>
        <v>0</v>
      </c>
      <c r="K1408" s="792"/>
      <c r="L1408" s="812">
        <v>1060430</v>
      </c>
      <c r="M1408" s="792">
        <f t="shared" si="126"/>
        <v>1980544.2217754475</v>
      </c>
      <c r="N1408" s="812">
        <v>1060430</v>
      </c>
      <c r="O1408" s="792">
        <f t="shared" si="127"/>
        <v>1980544.2217754475</v>
      </c>
      <c r="P1408" s="792">
        <f t="shared" si="128"/>
        <v>0</v>
      </c>
    </row>
    <row r="1409" spans="3:16">
      <c r="C1409" s="788">
        <f>IF(D1400="","-",+C1408+1)</f>
        <v>2018</v>
      </c>
      <c r="D1409" s="1402">
        <f t="shared" si="129"/>
        <v>17140764.510261904</v>
      </c>
      <c r="E1409" s="789">
        <f t="shared" si="131"/>
        <v>526059.26885714289</v>
      </c>
      <c r="F1409" s="789">
        <f t="shared" si="125"/>
        <v>16614705.241404761</v>
      </c>
      <c r="G1409" s="736">
        <f t="shared" si="130"/>
        <v>16877734.875833333</v>
      </c>
      <c r="H1409" s="794">
        <f>+J1401*G1409+E1409</f>
        <v>2964956.6413345919</v>
      </c>
      <c r="I1409" s="795">
        <f>+J1402*G1409+E1409</f>
        <v>2964956.6413345919</v>
      </c>
      <c r="J1409" s="792">
        <f t="shared" si="132"/>
        <v>0</v>
      </c>
      <c r="K1409" s="792"/>
      <c r="L1409" s="812">
        <v>930781</v>
      </c>
      <c r="M1409" s="792">
        <f t="shared" si="126"/>
        <v>2034175.6413345919</v>
      </c>
      <c r="N1409" s="812">
        <v>930781</v>
      </c>
      <c r="O1409" s="792">
        <f t="shared" si="127"/>
        <v>2034175.6413345919</v>
      </c>
      <c r="P1409" s="792">
        <f t="shared" si="128"/>
        <v>0</v>
      </c>
    </row>
    <row r="1410" spans="3:16">
      <c r="C1410" s="788">
        <f>IF(D1400="","-",+C1409+1)</f>
        <v>2019</v>
      </c>
      <c r="D1410" s="1321">
        <f t="shared" si="129"/>
        <v>16614705.241404761</v>
      </c>
      <c r="E1410" s="789">
        <f t="shared" si="131"/>
        <v>526059.26885714289</v>
      </c>
      <c r="F1410" s="789">
        <f t="shared" si="125"/>
        <v>16088645.972547617</v>
      </c>
      <c r="G1410" s="736">
        <f t="shared" si="130"/>
        <v>16351675.606976189</v>
      </c>
      <c r="H1410" s="794">
        <f>+J1401*G1410+E1410</f>
        <v>2888939.0608937363</v>
      </c>
      <c r="I1410" s="795">
        <f>+J1402*G1410+E1410</f>
        <v>2888939.0608937363</v>
      </c>
      <c r="J1410" s="792">
        <f t="shared" si="132"/>
        <v>0</v>
      </c>
      <c r="K1410" s="792"/>
      <c r="L1410" s="812">
        <v>2918930.4617440552</v>
      </c>
      <c r="M1410" s="792">
        <f t="shared" si="126"/>
        <v>-29991.400850318838</v>
      </c>
      <c r="N1410" s="812">
        <v>2918930.4617440552</v>
      </c>
      <c r="O1410" s="792">
        <f t="shared" si="127"/>
        <v>-29991.400850318838</v>
      </c>
      <c r="P1410" s="792">
        <f t="shared" si="128"/>
        <v>0</v>
      </c>
    </row>
    <row r="1411" spans="3:16">
      <c r="C1411" s="788">
        <f>IF(D1400="","-",+C1410+1)</f>
        <v>2020</v>
      </c>
      <c r="D1411" s="1321">
        <f t="shared" si="129"/>
        <v>16088645.972547617</v>
      </c>
      <c r="E1411" s="789">
        <f t="shared" si="131"/>
        <v>526059.26885714289</v>
      </c>
      <c r="F1411" s="789">
        <f t="shared" si="125"/>
        <v>15562586.703690473</v>
      </c>
      <c r="G1411" s="736">
        <f t="shared" si="130"/>
        <v>15825616.338119045</v>
      </c>
      <c r="H1411" s="794">
        <f>+J1401*G1411+E1411</f>
        <v>2812921.4804528807</v>
      </c>
      <c r="I1411" s="795">
        <f>+J1402*G1411+E1411</f>
        <v>2812921.4804528807</v>
      </c>
      <c r="J1411" s="792">
        <f t="shared" si="132"/>
        <v>0</v>
      </c>
      <c r="K1411" s="792"/>
      <c r="L1411" s="812">
        <v>3061483.0063108671</v>
      </c>
      <c r="M1411" s="792">
        <f t="shared" si="126"/>
        <v>-248561.52585798642</v>
      </c>
      <c r="N1411" s="812">
        <v>3061483.0063108671</v>
      </c>
      <c r="O1411" s="792">
        <f t="shared" si="127"/>
        <v>-248561.52585798642</v>
      </c>
      <c r="P1411" s="792">
        <f t="shared" si="128"/>
        <v>0</v>
      </c>
    </row>
    <row r="1412" spans="3:16">
      <c r="C1412" s="788">
        <f>IF(D1400="","-",+C1411+1)</f>
        <v>2021</v>
      </c>
      <c r="D1412" s="1321">
        <f t="shared" si="129"/>
        <v>15562586.703690473</v>
      </c>
      <c r="E1412" s="789">
        <f t="shared" si="131"/>
        <v>526059.26885714289</v>
      </c>
      <c r="F1412" s="789">
        <f t="shared" si="125"/>
        <v>15036527.434833329</v>
      </c>
      <c r="G1412" s="736">
        <f t="shared" si="130"/>
        <v>15299557.069261901</v>
      </c>
      <c r="H1412" s="794">
        <f>+J1401*G1412+E1412</f>
        <v>2736903.9000120247</v>
      </c>
      <c r="I1412" s="795">
        <f>+J1402*G1412+E1412</f>
        <v>2736903.9000120247</v>
      </c>
      <c r="J1412" s="792">
        <f t="shared" si="132"/>
        <v>0</v>
      </c>
      <c r="K1412" s="792"/>
      <c r="L1412" s="812">
        <v>2769457.1254647118</v>
      </c>
      <c r="M1412" s="792">
        <f t="shared" si="126"/>
        <v>-32553.225452687126</v>
      </c>
      <c r="N1412" s="812">
        <v>2769457.1254647118</v>
      </c>
      <c r="O1412" s="792">
        <f t="shared" si="127"/>
        <v>-32553.225452687126</v>
      </c>
      <c r="P1412" s="792">
        <f t="shared" si="128"/>
        <v>0</v>
      </c>
    </row>
    <row r="1413" spans="3:16">
      <c r="C1413" s="788">
        <f>IF(D1400="","-",+C1412+1)</f>
        <v>2022</v>
      </c>
      <c r="D1413" s="1321">
        <f t="shared" si="129"/>
        <v>15036527.434833329</v>
      </c>
      <c r="E1413" s="789">
        <f t="shared" si="131"/>
        <v>526059.26885714289</v>
      </c>
      <c r="F1413" s="789">
        <f t="shared" si="125"/>
        <v>14510468.165976185</v>
      </c>
      <c r="G1413" s="736">
        <f t="shared" si="130"/>
        <v>14773497.800404757</v>
      </c>
      <c r="H1413" s="794">
        <f>+J1401*G1413+E1413</f>
        <v>2660886.3195711691</v>
      </c>
      <c r="I1413" s="795">
        <f>+J1402*G1413+E1413</f>
        <v>2660886.3195711691</v>
      </c>
      <c r="J1413" s="792">
        <f t="shared" si="132"/>
        <v>0</v>
      </c>
      <c r="K1413" s="792"/>
      <c r="L1413" s="812">
        <v>2767743.1574857417</v>
      </c>
      <c r="M1413" s="792">
        <f t="shared" si="126"/>
        <v>-106856.83791457256</v>
      </c>
      <c r="N1413" s="812">
        <v>2767743.1574857417</v>
      </c>
      <c r="O1413" s="792">
        <f t="shared" si="127"/>
        <v>-106856.83791457256</v>
      </c>
      <c r="P1413" s="792">
        <f t="shared" si="128"/>
        <v>0</v>
      </c>
    </row>
    <row r="1414" spans="3:16">
      <c r="C1414" s="788">
        <f>IF(D1400="","-",+C1413+1)</f>
        <v>2023</v>
      </c>
      <c r="D1414" s="736">
        <f t="shared" si="129"/>
        <v>14510468.165976185</v>
      </c>
      <c r="E1414" s="789">
        <f t="shared" si="131"/>
        <v>526059.26885714289</v>
      </c>
      <c r="F1414" s="789">
        <f t="shared" si="125"/>
        <v>13984408.897119042</v>
      </c>
      <c r="G1414" s="736">
        <f t="shared" si="130"/>
        <v>14247438.531547613</v>
      </c>
      <c r="H1414" s="794">
        <f>+J1401*G1414+E1414</f>
        <v>2584868.7391303135</v>
      </c>
      <c r="I1414" s="795">
        <f>+J1402*G1414+E1414</f>
        <v>2584868.7391303135</v>
      </c>
      <c r="J1414" s="792">
        <f t="shared" si="132"/>
        <v>0</v>
      </c>
      <c r="K1414" s="792"/>
      <c r="L1414" s="812">
        <v>2699816.5317287678</v>
      </c>
      <c r="M1414" s="792">
        <f t="shared" si="126"/>
        <v>-114947.79259845428</v>
      </c>
      <c r="N1414" s="812">
        <v>2699816.5317287678</v>
      </c>
      <c r="O1414" s="792">
        <f t="shared" si="127"/>
        <v>-114947.79259845428</v>
      </c>
      <c r="P1414" s="792">
        <f t="shared" si="128"/>
        <v>0</v>
      </c>
    </row>
    <row r="1415" spans="3:16">
      <c r="C1415" s="788">
        <f>IF(D1400="","-",+C1414+1)</f>
        <v>2024</v>
      </c>
      <c r="D1415" s="736">
        <f t="shared" si="129"/>
        <v>13984408.897119042</v>
      </c>
      <c r="E1415" s="789">
        <f t="shared" si="131"/>
        <v>526059.26885714289</v>
      </c>
      <c r="F1415" s="789">
        <f t="shared" si="125"/>
        <v>13458349.628261898</v>
      </c>
      <c r="G1415" s="736">
        <f t="shared" si="130"/>
        <v>13721379.26269047</v>
      </c>
      <c r="H1415" s="794">
        <f>+J1401*G1415+E1415</f>
        <v>2508851.1586894579</v>
      </c>
      <c r="I1415" s="795">
        <f>+J1402*G1415+E1415</f>
        <v>2508851.1586894579</v>
      </c>
      <c r="J1415" s="792">
        <f t="shared" si="132"/>
        <v>0</v>
      </c>
      <c r="K1415" s="792"/>
      <c r="L1415" s="812"/>
      <c r="M1415" s="792">
        <f t="shared" si="126"/>
        <v>0</v>
      </c>
      <c r="N1415" s="812"/>
      <c r="O1415" s="792">
        <f t="shared" si="127"/>
        <v>0</v>
      </c>
      <c r="P1415" s="792">
        <f t="shared" si="128"/>
        <v>0</v>
      </c>
    </row>
    <row r="1416" spans="3:16">
      <c r="C1416" s="788">
        <f>IF(D1400="","-",+C1415+1)</f>
        <v>2025</v>
      </c>
      <c r="D1416" s="736">
        <f t="shared" si="129"/>
        <v>13458349.628261898</v>
      </c>
      <c r="E1416" s="789">
        <f t="shared" si="131"/>
        <v>526059.26885714289</v>
      </c>
      <c r="F1416" s="789">
        <f t="shared" si="125"/>
        <v>12932290.359404754</v>
      </c>
      <c r="G1416" s="736">
        <f t="shared" si="130"/>
        <v>13195319.993833326</v>
      </c>
      <c r="H1416" s="794">
        <f>+J1401*G1416+E1416</f>
        <v>2432833.5782486023</v>
      </c>
      <c r="I1416" s="795">
        <f>+J1402*G1416+E1416</f>
        <v>2432833.5782486023</v>
      </c>
      <c r="J1416" s="792">
        <f t="shared" si="132"/>
        <v>0</v>
      </c>
      <c r="K1416" s="792"/>
      <c r="L1416" s="812"/>
      <c r="M1416" s="792">
        <f t="shared" si="126"/>
        <v>0</v>
      </c>
      <c r="N1416" s="812"/>
      <c r="O1416" s="792">
        <f t="shared" si="127"/>
        <v>0</v>
      </c>
      <c r="P1416" s="792">
        <f t="shared" si="128"/>
        <v>0</v>
      </c>
    </row>
    <row r="1417" spans="3:16">
      <c r="C1417" s="788">
        <f>IF(D1400="","-",+C1416+1)</f>
        <v>2026</v>
      </c>
      <c r="D1417" s="736">
        <f t="shared" si="129"/>
        <v>12932290.359404754</v>
      </c>
      <c r="E1417" s="789">
        <f t="shared" si="131"/>
        <v>526059.26885714289</v>
      </c>
      <c r="F1417" s="789">
        <f t="shared" si="125"/>
        <v>12406231.09054761</v>
      </c>
      <c r="G1417" s="736">
        <f t="shared" si="130"/>
        <v>12669260.724976182</v>
      </c>
      <c r="H1417" s="794">
        <f>+J1401*G1417+E1417</f>
        <v>2356815.9978077463</v>
      </c>
      <c r="I1417" s="795">
        <f>+J1402*G1417+E1417</f>
        <v>2356815.9978077463</v>
      </c>
      <c r="J1417" s="792">
        <f t="shared" si="132"/>
        <v>0</v>
      </c>
      <c r="K1417" s="792"/>
      <c r="L1417" s="812"/>
      <c r="M1417" s="792">
        <f t="shared" si="126"/>
        <v>0</v>
      </c>
      <c r="N1417" s="812"/>
      <c r="O1417" s="792">
        <f t="shared" si="127"/>
        <v>0</v>
      </c>
      <c r="P1417" s="792">
        <f t="shared" si="128"/>
        <v>0</v>
      </c>
    </row>
    <row r="1418" spans="3:16">
      <c r="C1418" s="788">
        <f>IF(D1400="","-",+C1417+1)</f>
        <v>2027</v>
      </c>
      <c r="D1418" s="736">
        <f t="shared" si="129"/>
        <v>12406231.09054761</v>
      </c>
      <c r="E1418" s="789">
        <f t="shared" si="131"/>
        <v>526059.26885714289</v>
      </c>
      <c r="F1418" s="789">
        <f t="shared" si="125"/>
        <v>11880171.821690466</v>
      </c>
      <c r="G1418" s="736">
        <f t="shared" si="130"/>
        <v>12143201.456119038</v>
      </c>
      <c r="H1418" s="794">
        <f>+J1401*G1418+E1418</f>
        <v>2280798.4173668907</v>
      </c>
      <c r="I1418" s="795">
        <f>+J1402*G1418+E1418</f>
        <v>2280798.4173668907</v>
      </c>
      <c r="J1418" s="792">
        <f t="shared" si="132"/>
        <v>0</v>
      </c>
      <c r="K1418" s="792"/>
      <c r="L1418" s="812"/>
      <c r="M1418" s="792">
        <f t="shared" si="126"/>
        <v>0</v>
      </c>
      <c r="N1418" s="812"/>
      <c r="O1418" s="792">
        <f t="shared" si="127"/>
        <v>0</v>
      </c>
      <c r="P1418" s="792">
        <f t="shared" si="128"/>
        <v>0</v>
      </c>
    </row>
    <row r="1419" spans="3:16">
      <c r="C1419" s="788">
        <f>IF(D1400="","-",+C1418+1)</f>
        <v>2028</v>
      </c>
      <c r="D1419" s="736">
        <f t="shared" si="129"/>
        <v>11880171.821690466</v>
      </c>
      <c r="E1419" s="789">
        <f t="shared" si="131"/>
        <v>526059.26885714289</v>
      </c>
      <c r="F1419" s="789">
        <f t="shared" si="125"/>
        <v>11354112.552833322</v>
      </c>
      <c r="G1419" s="736">
        <f t="shared" si="130"/>
        <v>11617142.187261894</v>
      </c>
      <c r="H1419" s="794">
        <f>+J1401*G1419+E1419</f>
        <v>2204780.8369260347</v>
      </c>
      <c r="I1419" s="795">
        <f>+J1402*G1419+E1419</f>
        <v>2204780.8369260347</v>
      </c>
      <c r="J1419" s="792">
        <f t="shared" si="132"/>
        <v>0</v>
      </c>
      <c r="K1419" s="792"/>
      <c r="L1419" s="812"/>
      <c r="M1419" s="792">
        <f t="shared" si="126"/>
        <v>0</v>
      </c>
      <c r="N1419" s="812"/>
      <c r="O1419" s="792">
        <f t="shared" si="127"/>
        <v>0</v>
      </c>
      <c r="P1419" s="792">
        <f t="shared" si="128"/>
        <v>0</v>
      </c>
    </row>
    <row r="1420" spans="3:16">
      <c r="C1420" s="788">
        <f>IF(D1400="","-",+C1419+1)</f>
        <v>2029</v>
      </c>
      <c r="D1420" s="736">
        <f t="shared" si="129"/>
        <v>11354112.552833322</v>
      </c>
      <c r="E1420" s="789">
        <f t="shared" si="131"/>
        <v>526059.26885714289</v>
      </c>
      <c r="F1420" s="789">
        <f t="shared" si="125"/>
        <v>10828053.283976179</v>
      </c>
      <c r="G1420" s="736">
        <f t="shared" si="130"/>
        <v>11091082.918404751</v>
      </c>
      <c r="H1420" s="794">
        <f>+J1401*G1420+E1420</f>
        <v>2128763.2564851791</v>
      </c>
      <c r="I1420" s="795">
        <f>+J1402*G1420+E1420</f>
        <v>2128763.2564851791</v>
      </c>
      <c r="J1420" s="792">
        <f t="shared" si="132"/>
        <v>0</v>
      </c>
      <c r="K1420" s="792"/>
      <c r="L1420" s="812"/>
      <c r="M1420" s="792">
        <f t="shared" si="126"/>
        <v>0</v>
      </c>
      <c r="N1420" s="812"/>
      <c r="O1420" s="792">
        <f t="shared" si="127"/>
        <v>0</v>
      </c>
      <c r="P1420" s="792">
        <f t="shared" si="128"/>
        <v>0</v>
      </c>
    </row>
    <row r="1421" spans="3:16">
      <c r="C1421" s="788">
        <f>IF(D1400="","-",+C1420+1)</f>
        <v>2030</v>
      </c>
      <c r="D1421" s="736">
        <f t="shared" si="129"/>
        <v>10828053.283976179</v>
      </c>
      <c r="E1421" s="789">
        <f t="shared" si="131"/>
        <v>526059.26885714289</v>
      </c>
      <c r="F1421" s="789">
        <f t="shared" si="125"/>
        <v>10301994.015119035</v>
      </c>
      <c r="G1421" s="736">
        <f t="shared" si="130"/>
        <v>10565023.649547607</v>
      </c>
      <c r="H1421" s="794">
        <f>+J1401*G1421+E1421</f>
        <v>2052745.6760443235</v>
      </c>
      <c r="I1421" s="795">
        <f>+J1402*G1421+E1421</f>
        <v>2052745.6760443235</v>
      </c>
      <c r="J1421" s="792">
        <f t="shared" si="132"/>
        <v>0</v>
      </c>
      <c r="K1421" s="792"/>
      <c r="L1421" s="812"/>
      <c r="M1421" s="792">
        <f t="shared" si="126"/>
        <v>0</v>
      </c>
      <c r="N1421" s="812"/>
      <c r="O1421" s="792">
        <f t="shared" si="127"/>
        <v>0</v>
      </c>
      <c r="P1421" s="792">
        <f t="shared" si="128"/>
        <v>0</v>
      </c>
    </row>
    <row r="1422" spans="3:16">
      <c r="C1422" s="788">
        <f>IF(D1400="","-",+C1421+1)</f>
        <v>2031</v>
      </c>
      <c r="D1422" s="736">
        <f t="shared" si="129"/>
        <v>10301994.015119035</v>
      </c>
      <c r="E1422" s="789">
        <f t="shared" si="131"/>
        <v>526059.26885714289</v>
      </c>
      <c r="F1422" s="789">
        <f t="shared" si="125"/>
        <v>9775934.746261891</v>
      </c>
      <c r="G1422" s="736">
        <f t="shared" si="130"/>
        <v>10038964.380690463</v>
      </c>
      <c r="H1422" s="794">
        <f>+J1401*G1422+E1422</f>
        <v>1976728.0956034679</v>
      </c>
      <c r="I1422" s="795">
        <f>+J1402*G1422+E1422</f>
        <v>1976728.0956034679</v>
      </c>
      <c r="J1422" s="792">
        <f t="shared" si="132"/>
        <v>0</v>
      </c>
      <c r="K1422" s="792"/>
      <c r="L1422" s="812"/>
      <c r="M1422" s="792">
        <f t="shared" si="126"/>
        <v>0</v>
      </c>
      <c r="N1422" s="812"/>
      <c r="O1422" s="792">
        <f t="shared" si="127"/>
        <v>0</v>
      </c>
      <c r="P1422" s="792">
        <f t="shared" si="128"/>
        <v>0</v>
      </c>
    </row>
    <row r="1423" spans="3:16">
      <c r="C1423" s="788">
        <f>IF(D1400="","-",+C1422+1)</f>
        <v>2032</v>
      </c>
      <c r="D1423" s="736">
        <f t="shared" si="129"/>
        <v>9775934.746261891</v>
      </c>
      <c r="E1423" s="789">
        <f t="shared" si="131"/>
        <v>526059.26885714289</v>
      </c>
      <c r="F1423" s="789">
        <f t="shared" si="125"/>
        <v>9249875.4774047472</v>
      </c>
      <c r="G1423" s="736">
        <f t="shared" si="130"/>
        <v>9512905.1118333191</v>
      </c>
      <c r="H1423" s="794">
        <f>+J1401*G1423+E1423</f>
        <v>1900710.5151626121</v>
      </c>
      <c r="I1423" s="795">
        <f>+J1402*G1423+E1423</f>
        <v>1900710.5151626121</v>
      </c>
      <c r="J1423" s="792">
        <f t="shared" si="132"/>
        <v>0</v>
      </c>
      <c r="K1423" s="792"/>
      <c r="L1423" s="812"/>
      <c r="M1423" s="792">
        <f t="shared" si="126"/>
        <v>0</v>
      </c>
      <c r="N1423" s="812"/>
      <c r="O1423" s="792">
        <f t="shared" si="127"/>
        <v>0</v>
      </c>
      <c r="P1423" s="792">
        <f t="shared" si="128"/>
        <v>0</v>
      </c>
    </row>
    <row r="1424" spans="3:16">
      <c r="C1424" s="788">
        <f>IF(D1400="","-",+C1423+1)</f>
        <v>2033</v>
      </c>
      <c r="D1424" s="736">
        <f t="shared" si="129"/>
        <v>9249875.4774047472</v>
      </c>
      <c r="E1424" s="789">
        <f t="shared" si="131"/>
        <v>526059.26885714289</v>
      </c>
      <c r="F1424" s="789">
        <f t="shared" si="125"/>
        <v>8723816.2085476033</v>
      </c>
      <c r="G1424" s="736">
        <f t="shared" si="130"/>
        <v>8986845.8429761752</v>
      </c>
      <c r="H1424" s="794">
        <f>+J1401*G1424+E1424</f>
        <v>1824692.9347217565</v>
      </c>
      <c r="I1424" s="795">
        <f>+J1402*G1424+E1424</f>
        <v>1824692.9347217565</v>
      </c>
      <c r="J1424" s="792">
        <f t="shared" si="132"/>
        <v>0</v>
      </c>
      <c r="K1424" s="792"/>
      <c r="L1424" s="812"/>
      <c r="M1424" s="792">
        <f t="shared" si="126"/>
        <v>0</v>
      </c>
      <c r="N1424" s="812"/>
      <c r="O1424" s="792">
        <f t="shared" si="127"/>
        <v>0</v>
      </c>
      <c r="P1424" s="792">
        <f t="shared" si="128"/>
        <v>0</v>
      </c>
    </row>
    <row r="1425" spans="3:16">
      <c r="C1425" s="788">
        <f>IF(D1400="","-",+C1424+1)</f>
        <v>2034</v>
      </c>
      <c r="D1425" s="736">
        <f t="shared" si="129"/>
        <v>8723816.2085476033</v>
      </c>
      <c r="E1425" s="789">
        <f t="shared" si="131"/>
        <v>526059.26885714289</v>
      </c>
      <c r="F1425" s="789">
        <f t="shared" si="125"/>
        <v>8197756.9396904605</v>
      </c>
      <c r="G1425" s="736">
        <f t="shared" si="130"/>
        <v>8460786.5741190314</v>
      </c>
      <c r="H1425" s="794">
        <f>+J1401*G1425+E1425</f>
        <v>1748675.3542809007</v>
      </c>
      <c r="I1425" s="795">
        <f>+J1402*G1425+E1425</f>
        <v>1748675.3542809007</v>
      </c>
      <c r="J1425" s="792">
        <f t="shared" si="132"/>
        <v>0</v>
      </c>
      <c r="K1425" s="792"/>
      <c r="L1425" s="812"/>
      <c r="M1425" s="792">
        <f t="shared" si="126"/>
        <v>0</v>
      </c>
      <c r="N1425" s="812"/>
      <c r="O1425" s="792">
        <f t="shared" si="127"/>
        <v>0</v>
      </c>
      <c r="P1425" s="792">
        <f t="shared" si="128"/>
        <v>0</v>
      </c>
    </row>
    <row r="1426" spans="3:16">
      <c r="C1426" s="788">
        <f>IF(D1400="","-",+C1425+1)</f>
        <v>2035</v>
      </c>
      <c r="D1426" s="736">
        <f t="shared" si="129"/>
        <v>8197756.9396904605</v>
      </c>
      <c r="E1426" s="789">
        <f t="shared" si="131"/>
        <v>526059.26885714289</v>
      </c>
      <c r="F1426" s="789">
        <f t="shared" si="125"/>
        <v>7671697.6708333176</v>
      </c>
      <c r="G1426" s="736">
        <f t="shared" si="130"/>
        <v>7934727.3052618895</v>
      </c>
      <c r="H1426" s="794">
        <f>+J1401*G1426+E1426</f>
        <v>1672657.7738400453</v>
      </c>
      <c r="I1426" s="795">
        <f>+J1402*G1426+E1426</f>
        <v>1672657.7738400453</v>
      </c>
      <c r="J1426" s="792">
        <f t="shared" si="132"/>
        <v>0</v>
      </c>
      <c r="K1426" s="792"/>
      <c r="L1426" s="812"/>
      <c r="M1426" s="792">
        <f t="shared" si="126"/>
        <v>0</v>
      </c>
      <c r="N1426" s="812"/>
      <c r="O1426" s="792">
        <f t="shared" si="127"/>
        <v>0</v>
      </c>
      <c r="P1426" s="792">
        <f t="shared" si="128"/>
        <v>0</v>
      </c>
    </row>
    <row r="1427" spans="3:16">
      <c r="C1427" s="788">
        <f>IF(D1400="","-",+C1426+1)</f>
        <v>2036</v>
      </c>
      <c r="D1427" s="736">
        <f t="shared" si="129"/>
        <v>7671697.6708333176</v>
      </c>
      <c r="E1427" s="789">
        <f t="shared" si="131"/>
        <v>526059.26885714289</v>
      </c>
      <c r="F1427" s="789">
        <f t="shared" si="125"/>
        <v>7145638.4019761747</v>
      </c>
      <c r="G1427" s="736">
        <f t="shared" si="130"/>
        <v>7408668.0364047457</v>
      </c>
      <c r="H1427" s="794">
        <f>+J1401*G1427+E1427</f>
        <v>1596640.1933991897</v>
      </c>
      <c r="I1427" s="795">
        <f>+J1402*G1427+E1427</f>
        <v>1596640.1933991897</v>
      </c>
      <c r="J1427" s="792">
        <f t="shared" si="132"/>
        <v>0</v>
      </c>
      <c r="K1427" s="792"/>
      <c r="L1427" s="812"/>
      <c r="M1427" s="792">
        <f t="shared" si="126"/>
        <v>0</v>
      </c>
      <c r="N1427" s="812"/>
      <c r="O1427" s="792">
        <f t="shared" si="127"/>
        <v>0</v>
      </c>
      <c r="P1427" s="792">
        <f t="shared" si="128"/>
        <v>0</v>
      </c>
    </row>
    <row r="1428" spans="3:16">
      <c r="C1428" s="788">
        <f>IF(D1400="","-",+C1427+1)</f>
        <v>2037</v>
      </c>
      <c r="D1428" s="736">
        <f t="shared" si="129"/>
        <v>7145638.4019761747</v>
      </c>
      <c r="E1428" s="789">
        <f t="shared" si="131"/>
        <v>526059.26885714289</v>
      </c>
      <c r="F1428" s="789">
        <f t="shared" si="125"/>
        <v>6619579.1331190318</v>
      </c>
      <c r="G1428" s="736">
        <f t="shared" si="130"/>
        <v>6882608.7675476037</v>
      </c>
      <c r="H1428" s="794">
        <f>+J1401*G1428+E1428</f>
        <v>1520622.6129583344</v>
      </c>
      <c r="I1428" s="795">
        <f>+J1402*G1428+E1428</f>
        <v>1520622.6129583344</v>
      </c>
      <c r="J1428" s="792">
        <f t="shared" si="132"/>
        <v>0</v>
      </c>
      <c r="K1428" s="792"/>
      <c r="L1428" s="812"/>
      <c r="M1428" s="792">
        <f t="shared" si="126"/>
        <v>0</v>
      </c>
      <c r="N1428" s="812"/>
      <c r="O1428" s="792">
        <f t="shared" si="127"/>
        <v>0</v>
      </c>
      <c r="P1428" s="792">
        <f t="shared" si="128"/>
        <v>0</v>
      </c>
    </row>
    <row r="1429" spans="3:16">
      <c r="C1429" s="788">
        <f>IF(D1400="","-",+C1428+1)</f>
        <v>2038</v>
      </c>
      <c r="D1429" s="736">
        <f t="shared" si="129"/>
        <v>6619579.1331190318</v>
      </c>
      <c r="E1429" s="789">
        <f t="shared" si="131"/>
        <v>526059.26885714289</v>
      </c>
      <c r="F1429" s="789">
        <f t="shared" si="125"/>
        <v>6093519.8642618889</v>
      </c>
      <c r="G1429" s="736">
        <f t="shared" si="130"/>
        <v>6356549.4986904599</v>
      </c>
      <c r="H1429" s="794">
        <f>+J1401*G1429+E1429</f>
        <v>1444605.0325174786</v>
      </c>
      <c r="I1429" s="795">
        <f>+J1402*G1429+E1429</f>
        <v>1444605.0325174786</v>
      </c>
      <c r="J1429" s="792">
        <f t="shared" si="132"/>
        <v>0</v>
      </c>
      <c r="K1429" s="792"/>
      <c r="L1429" s="812"/>
      <c r="M1429" s="792">
        <f t="shared" si="126"/>
        <v>0</v>
      </c>
      <c r="N1429" s="812"/>
      <c r="O1429" s="792">
        <f t="shared" si="127"/>
        <v>0</v>
      </c>
      <c r="P1429" s="792">
        <f t="shared" si="128"/>
        <v>0</v>
      </c>
    </row>
    <row r="1430" spans="3:16">
      <c r="C1430" s="788">
        <f>IF(D1400="","-",+C1429+1)</f>
        <v>2039</v>
      </c>
      <c r="D1430" s="736">
        <f t="shared" si="129"/>
        <v>6093519.8642618889</v>
      </c>
      <c r="E1430" s="789">
        <f t="shared" si="131"/>
        <v>526059.26885714289</v>
      </c>
      <c r="F1430" s="789">
        <f t="shared" si="125"/>
        <v>5567460.595404746</v>
      </c>
      <c r="G1430" s="736">
        <f t="shared" si="130"/>
        <v>5830490.2298333179</v>
      </c>
      <c r="H1430" s="794">
        <f>+J1401*G1430+E1430</f>
        <v>1368587.4520766232</v>
      </c>
      <c r="I1430" s="795">
        <f>+J1402*G1430+E1430</f>
        <v>1368587.4520766232</v>
      </c>
      <c r="J1430" s="792">
        <f t="shared" si="132"/>
        <v>0</v>
      </c>
      <c r="K1430" s="792"/>
      <c r="L1430" s="812"/>
      <c r="M1430" s="792">
        <f t="shared" si="126"/>
        <v>0</v>
      </c>
      <c r="N1430" s="812"/>
      <c r="O1430" s="792">
        <f t="shared" si="127"/>
        <v>0</v>
      </c>
      <c r="P1430" s="792">
        <f t="shared" si="128"/>
        <v>0</v>
      </c>
    </row>
    <row r="1431" spans="3:16">
      <c r="C1431" s="788">
        <f>IF(D1400="","-",+C1430+1)</f>
        <v>2040</v>
      </c>
      <c r="D1431" s="736">
        <f t="shared" si="129"/>
        <v>5567460.595404746</v>
      </c>
      <c r="E1431" s="789">
        <f t="shared" si="131"/>
        <v>526059.26885714289</v>
      </c>
      <c r="F1431" s="789">
        <f t="shared" si="125"/>
        <v>5041401.3265476031</v>
      </c>
      <c r="G1431" s="736">
        <f t="shared" si="130"/>
        <v>5304430.9609761741</v>
      </c>
      <c r="H1431" s="794">
        <f>+J1401*G1431+E1431</f>
        <v>1292569.8716357674</v>
      </c>
      <c r="I1431" s="795">
        <f>+J1402*G1431+E1431</f>
        <v>1292569.8716357674</v>
      </c>
      <c r="J1431" s="792">
        <f t="shared" si="132"/>
        <v>0</v>
      </c>
      <c r="K1431" s="792"/>
      <c r="L1431" s="812"/>
      <c r="M1431" s="792">
        <f t="shared" si="126"/>
        <v>0</v>
      </c>
      <c r="N1431" s="812"/>
      <c r="O1431" s="792">
        <f t="shared" si="127"/>
        <v>0</v>
      </c>
      <c r="P1431" s="792">
        <f t="shared" si="128"/>
        <v>0</v>
      </c>
    </row>
    <row r="1432" spans="3:16">
      <c r="C1432" s="788">
        <f>IF(D1400="","-",+C1431+1)</f>
        <v>2041</v>
      </c>
      <c r="D1432" s="736">
        <f t="shared" si="129"/>
        <v>5041401.3265476031</v>
      </c>
      <c r="E1432" s="789">
        <f t="shared" si="131"/>
        <v>526059.26885714289</v>
      </c>
      <c r="F1432" s="789">
        <f t="shared" si="125"/>
        <v>4515342.0576904602</v>
      </c>
      <c r="G1432" s="736">
        <f t="shared" si="130"/>
        <v>4778371.6921190321</v>
      </c>
      <c r="H1432" s="794">
        <f>+J1401*G1432+E1432</f>
        <v>1216552.291194912</v>
      </c>
      <c r="I1432" s="795">
        <f>+J1402*G1432+E1432</f>
        <v>1216552.291194912</v>
      </c>
      <c r="J1432" s="792">
        <f t="shared" si="132"/>
        <v>0</v>
      </c>
      <c r="K1432" s="792"/>
      <c r="L1432" s="812"/>
      <c r="M1432" s="792">
        <f t="shared" si="126"/>
        <v>0</v>
      </c>
      <c r="N1432" s="812"/>
      <c r="O1432" s="792">
        <f t="shared" si="127"/>
        <v>0</v>
      </c>
      <c r="P1432" s="792">
        <f t="shared" si="128"/>
        <v>0</v>
      </c>
    </row>
    <row r="1433" spans="3:16">
      <c r="C1433" s="788">
        <f>IF(D1400="","-",+C1432+1)</f>
        <v>2042</v>
      </c>
      <c r="D1433" s="736">
        <f t="shared" si="129"/>
        <v>4515342.0576904602</v>
      </c>
      <c r="E1433" s="789">
        <f t="shared" si="131"/>
        <v>526059.26885714289</v>
      </c>
      <c r="F1433" s="789">
        <f t="shared" si="125"/>
        <v>3989282.7888333173</v>
      </c>
      <c r="G1433" s="736">
        <f t="shared" si="130"/>
        <v>4252312.4232618883</v>
      </c>
      <c r="H1433" s="794">
        <f>+J1401*G1433+E1433</f>
        <v>1140534.7107540562</v>
      </c>
      <c r="I1433" s="795">
        <f>+J1402*G1433+E1433</f>
        <v>1140534.7107540562</v>
      </c>
      <c r="J1433" s="792">
        <f t="shared" si="132"/>
        <v>0</v>
      </c>
      <c r="K1433" s="792"/>
      <c r="L1433" s="812"/>
      <c r="M1433" s="792">
        <f t="shared" si="126"/>
        <v>0</v>
      </c>
      <c r="N1433" s="812"/>
      <c r="O1433" s="792">
        <f t="shared" si="127"/>
        <v>0</v>
      </c>
      <c r="P1433" s="792">
        <f t="shared" si="128"/>
        <v>0</v>
      </c>
    </row>
    <row r="1434" spans="3:16">
      <c r="C1434" s="788">
        <f>IF(D1400="","-",+C1433+1)</f>
        <v>2043</v>
      </c>
      <c r="D1434" s="736">
        <f t="shared" si="129"/>
        <v>3989282.7888333173</v>
      </c>
      <c r="E1434" s="789">
        <f t="shared" si="131"/>
        <v>526059.26885714289</v>
      </c>
      <c r="F1434" s="789">
        <f t="shared" si="125"/>
        <v>3463223.5199761745</v>
      </c>
      <c r="G1434" s="736">
        <f t="shared" si="130"/>
        <v>3726253.1544047459</v>
      </c>
      <c r="H1434" s="794">
        <f>+J1401*G1434+E1434</f>
        <v>1064517.1303132009</v>
      </c>
      <c r="I1434" s="795">
        <f>+J1402*G1434+E1434</f>
        <v>1064517.1303132009</v>
      </c>
      <c r="J1434" s="792">
        <f t="shared" si="132"/>
        <v>0</v>
      </c>
      <c r="K1434" s="792"/>
      <c r="L1434" s="812"/>
      <c r="M1434" s="792">
        <f t="shared" si="126"/>
        <v>0</v>
      </c>
      <c r="N1434" s="812"/>
      <c r="O1434" s="792">
        <f t="shared" si="127"/>
        <v>0</v>
      </c>
      <c r="P1434" s="792">
        <f t="shared" si="128"/>
        <v>0</v>
      </c>
    </row>
    <row r="1435" spans="3:16">
      <c r="C1435" s="788">
        <f>IF(D1400="","-",+C1434+1)</f>
        <v>2044</v>
      </c>
      <c r="D1435" s="736">
        <f t="shared" si="129"/>
        <v>3463223.5199761745</v>
      </c>
      <c r="E1435" s="789">
        <f t="shared" si="131"/>
        <v>526059.26885714289</v>
      </c>
      <c r="F1435" s="789">
        <f t="shared" si="125"/>
        <v>2937164.2511190316</v>
      </c>
      <c r="G1435" s="736">
        <f t="shared" si="130"/>
        <v>3200193.885547603</v>
      </c>
      <c r="H1435" s="794">
        <f>+J1401*G1435+E1435</f>
        <v>988499.54987234529</v>
      </c>
      <c r="I1435" s="795">
        <f>+J1402*G1435+E1435</f>
        <v>988499.54987234529</v>
      </c>
      <c r="J1435" s="792">
        <f t="shared" si="132"/>
        <v>0</v>
      </c>
      <c r="K1435" s="792"/>
      <c r="L1435" s="812"/>
      <c r="M1435" s="792">
        <f t="shared" si="126"/>
        <v>0</v>
      </c>
      <c r="N1435" s="812"/>
      <c r="O1435" s="792">
        <f t="shared" si="127"/>
        <v>0</v>
      </c>
      <c r="P1435" s="792">
        <f t="shared" si="128"/>
        <v>0</v>
      </c>
    </row>
    <row r="1436" spans="3:16">
      <c r="C1436" s="788">
        <f>IF(D1400="","-",+C1435+1)</f>
        <v>2045</v>
      </c>
      <c r="D1436" s="736">
        <f t="shared" si="129"/>
        <v>2937164.2511190316</v>
      </c>
      <c r="E1436" s="789">
        <f t="shared" si="131"/>
        <v>526059.26885714289</v>
      </c>
      <c r="F1436" s="789">
        <f t="shared" si="125"/>
        <v>2411104.9822618887</v>
      </c>
      <c r="G1436" s="736">
        <f t="shared" si="130"/>
        <v>2674134.6166904601</v>
      </c>
      <c r="H1436" s="794">
        <f>+J1401*G1436+E1436</f>
        <v>912481.96943148971</v>
      </c>
      <c r="I1436" s="795">
        <f>+J1402*G1436+E1436</f>
        <v>912481.96943148971</v>
      </c>
      <c r="J1436" s="792">
        <f t="shared" si="132"/>
        <v>0</v>
      </c>
      <c r="K1436" s="792"/>
      <c r="L1436" s="812"/>
      <c r="M1436" s="792">
        <f t="shared" si="126"/>
        <v>0</v>
      </c>
      <c r="N1436" s="812"/>
      <c r="O1436" s="792">
        <f t="shared" si="127"/>
        <v>0</v>
      </c>
      <c r="P1436" s="792">
        <f t="shared" si="128"/>
        <v>0</v>
      </c>
    </row>
    <row r="1437" spans="3:16">
      <c r="C1437" s="788">
        <f>IF(D1400="","-",+C1436+1)</f>
        <v>2046</v>
      </c>
      <c r="D1437" s="736">
        <f t="shared" si="129"/>
        <v>2411104.9822618887</v>
      </c>
      <c r="E1437" s="789">
        <f t="shared" si="131"/>
        <v>526059.26885714289</v>
      </c>
      <c r="F1437" s="789">
        <f t="shared" si="125"/>
        <v>1885045.7134047458</v>
      </c>
      <c r="G1437" s="736">
        <f t="shared" si="130"/>
        <v>2148075.3478333172</v>
      </c>
      <c r="H1437" s="794">
        <f>+J1401*G1437+E1437</f>
        <v>836464.38899063412</v>
      </c>
      <c r="I1437" s="795">
        <f>+J1402*G1437+E1437</f>
        <v>836464.38899063412</v>
      </c>
      <c r="J1437" s="792">
        <f t="shared" si="132"/>
        <v>0</v>
      </c>
      <c r="K1437" s="792"/>
      <c r="L1437" s="812"/>
      <c r="M1437" s="792">
        <f t="shared" si="126"/>
        <v>0</v>
      </c>
      <c r="N1437" s="812"/>
      <c r="O1437" s="792">
        <f t="shared" si="127"/>
        <v>0</v>
      </c>
      <c r="P1437" s="792">
        <f t="shared" si="128"/>
        <v>0</v>
      </c>
    </row>
    <row r="1438" spans="3:16">
      <c r="C1438" s="788">
        <f>IF(D1400="","-",+C1437+1)</f>
        <v>2047</v>
      </c>
      <c r="D1438" s="736">
        <f t="shared" si="129"/>
        <v>1885045.7134047458</v>
      </c>
      <c r="E1438" s="789">
        <f t="shared" si="131"/>
        <v>526059.26885714289</v>
      </c>
      <c r="F1438" s="789">
        <f t="shared" si="125"/>
        <v>1358986.4445476029</v>
      </c>
      <c r="G1438" s="736">
        <f t="shared" si="130"/>
        <v>1622016.0789761744</v>
      </c>
      <c r="H1438" s="794">
        <f>+J1401*G1438+E1438</f>
        <v>760446.80854977854</v>
      </c>
      <c r="I1438" s="795">
        <f>+J1402*G1438+E1438</f>
        <v>760446.80854977854</v>
      </c>
      <c r="J1438" s="792">
        <f t="shared" si="132"/>
        <v>0</v>
      </c>
      <c r="K1438" s="792"/>
      <c r="L1438" s="812"/>
      <c r="M1438" s="792">
        <f t="shared" si="126"/>
        <v>0</v>
      </c>
      <c r="N1438" s="812"/>
      <c r="O1438" s="792">
        <f t="shared" si="127"/>
        <v>0</v>
      </c>
      <c r="P1438" s="792">
        <f t="shared" si="128"/>
        <v>0</v>
      </c>
    </row>
    <row r="1439" spans="3:16">
      <c r="C1439" s="788">
        <f>IF(D1400="","-",+C1438+1)</f>
        <v>2048</v>
      </c>
      <c r="D1439" s="736">
        <f t="shared" si="129"/>
        <v>1358986.4445476029</v>
      </c>
      <c r="E1439" s="789">
        <f t="shared" si="131"/>
        <v>526059.26885714289</v>
      </c>
      <c r="F1439" s="789">
        <f t="shared" si="125"/>
        <v>832927.17569046002</v>
      </c>
      <c r="G1439" s="736">
        <f t="shared" si="130"/>
        <v>1095956.8101190315</v>
      </c>
      <c r="H1439" s="794">
        <f>+J1401*G1439+E1439</f>
        <v>684429.22810892295</v>
      </c>
      <c r="I1439" s="795">
        <f>+J1402*G1439+E1439</f>
        <v>684429.22810892295</v>
      </c>
      <c r="J1439" s="792">
        <f t="shared" si="132"/>
        <v>0</v>
      </c>
      <c r="K1439" s="792"/>
      <c r="L1439" s="812"/>
      <c r="M1439" s="792">
        <f t="shared" si="126"/>
        <v>0</v>
      </c>
      <c r="N1439" s="812"/>
      <c r="O1439" s="792">
        <f t="shared" si="127"/>
        <v>0</v>
      </c>
      <c r="P1439" s="792">
        <f t="shared" si="128"/>
        <v>0</v>
      </c>
    </row>
    <row r="1440" spans="3:16">
      <c r="C1440" s="788">
        <f>IF(D1400="","-",+C1439+1)</f>
        <v>2049</v>
      </c>
      <c r="D1440" s="736">
        <f t="shared" si="129"/>
        <v>832927.17569046002</v>
      </c>
      <c r="E1440" s="789">
        <f t="shared" si="131"/>
        <v>526059.26885714289</v>
      </c>
      <c r="F1440" s="789">
        <f t="shared" si="125"/>
        <v>306867.90683331713</v>
      </c>
      <c r="G1440" s="736">
        <f t="shared" si="130"/>
        <v>569897.54126188857</v>
      </c>
      <c r="H1440" s="794">
        <f>+J1401*G1440+E1440</f>
        <v>608411.64766806737</v>
      </c>
      <c r="I1440" s="795">
        <f>+J1402*G1440+E1440</f>
        <v>608411.64766806737</v>
      </c>
      <c r="J1440" s="792">
        <f t="shared" si="132"/>
        <v>0</v>
      </c>
      <c r="K1440" s="792"/>
      <c r="L1440" s="812"/>
      <c r="M1440" s="792">
        <f t="shared" si="126"/>
        <v>0</v>
      </c>
      <c r="N1440" s="812"/>
      <c r="O1440" s="792">
        <f t="shared" si="127"/>
        <v>0</v>
      </c>
      <c r="P1440" s="792">
        <f t="shared" si="128"/>
        <v>0</v>
      </c>
    </row>
    <row r="1441" spans="3:16">
      <c r="C1441" s="788">
        <f>IF(D1400="","-",+C1440+1)</f>
        <v>2050</v>
      </c>
      <c r="D1441" s="736">
        <f t="shared" si="129"/>
        <v>306867.90683331713</v>
      </c>
      <c r="E1441" s="789">
        <f t="shared" si="131"/>
        <v>306867.90683331713</v>
      </c>
      <c r="F1441" s="789">
        <f t="shared" si="125"/>
        <v>0</v>
      </c>
      <c r="G1441" s="736">
        <f t="shared" si="130"/>
        <v>153433.95341665857</v>
      </c>
      <c r="H1441" s="794">
        <f>+J1401*G1441+E1441</f>
        <v>329039.70112856547</v>
      </c>
      <c r="I1441" s="795">
        <f>+J1402*G1441+E1441</f>
        <v>329039.70112856547</v>
      </c>
      <c r="J1441" s="792">
        <f t="shared" si="132"/>
        <v>0</v>
      </c>
      <c r="K1441" s="792"/>
      <c r="L1441" s="812"/>
      <c r="M1441" s="792">
        <f t="shared" si="126"/>
        <v>0</v>
      </c>
      <c r="N1441" s="812"/>
      <c r="O1441" s="792">
        <f t="shared" si="127"/>
        <v>0</v>
      </c>
      <c r="P1441" s="792">
        <f t="shared" si="128"/>
        <v>0</v>
      </c>
    </row>
    <row r="1442" spans="3:16">
      <c r="C1442" s="788">
        <f>IF(D1400="","-",+C1441+1)</f>
        <v>2051</v>
      </c>
      <c r="D1442" s="736">
        <f t="shared" si="129"/>
        <v>0</v>
      </c>
      <c r="E1442" s="789">
        <f t="shared" si="131"/>
        <v>0</v>
      </c>
      <c r="F1442" s="789">
        <f t="shared" si="125"/>
        <v>0</v>
      </c>
      <c r="G1442" s="736">
        <f t="shared" si="130"/>
        <v>0</v>
      </c>
      <c r="H1442" s="794">
        <f>+J1401*G1442+E1442</f>
        <v>0</v>
      </c>
      <c r="I1442" s="795">
        <f>+J1402*G1442+E1442</f>
        <v>0</v>
      </c>
      <c r="J1442" s="792">
        <f t="shared" si="132"/>
        <v>0</v>
      </c>
      <c r="K1442" s="792"/>
      <c r="L1442" s="812"/>
      <c r="M1442" s="792">
        <f t="shared" si="126"/>
        <v>0</v>
      </c>
      <c r="N1442" s="812"/>
      <c r="O1442" s="792">
        <f t="shared" si="127"/>
        <v>0</v>
      </c>
      <c r="P1442" s="792">
        <f t="shared" si="128"/>
        <v>0</v>
      </c>
    </row>
    <row r="1443" spans="3:16">
      <c r="C1443" s="788">
        <f>IF(D1400="","-",+C1442+1)</f>
        <v>2052</v>
      </c>
      <c r="D1443" s="736">
        <f t="shared" si="129"/>
        <v>0</v>
      </c>
      <c r="E1443" s="789">
        <f t="shared" si="131"/>
        <v>0</v>
      </c>
      <c r="F1443" s="789">
        <f t="shared" si="125"/>
        <v>0</v>
      </c>
      <c r="G1443" s="736">
        <f t="shared" si="130"/>
        <v>0</v>
      </c>
      <c r="H1443" s="794">
        <f>+J1401*G1443+E1443</f>
        <v>0</v>
      </c>
      <c r="I1443" s="795">
        <f>+J1402*G1443+E1443</f>
        <v>0</v>
      </c>
      <c r="J1443" s="792">
        <f t="shared" si="132"/>
        <v>0</v>
      </c>
      <c r="K1443" s="792"/>
      <c r="L1443" s="812"/>
      <c r="M1443" s="792">
        <f t="shared" si="126"/>
        <v>0</v>
      </c>
      <c r="N1443" s="812"/>
      <c r="O1443" s="792">
        <f t="shared" si="127"/>
        <v>0</v>
      </c>
      <c r="P1443" s="792">
        <f t="shared" si="128"/>
        <v>0</v>
      </c>
    </row>
    <row r="1444" spans="3:16">
      <c r="C1444" s="788">
        <f>IF(D1400="","-",+C1443+1)</f>
        <v>2053</v>
      </c>
      <c r="D1444" s="736">
        <f t="shared" si="129"/>
        <v>0</v>
      </c>
      <c r="E1444" s="789">
        <f t="shared" si="131"/>
        <v>0</v>
      </c>
      <c r="F1444" s="789">
        <f t="shared" si="125"/>
        <v>0</v>
      </c>
      <c r="G1444" s="736">
        <f t="shared" si="130"/>
        <v>0</v>
      </c>
      <c r="H1444" s="794">
        <f>+J1401*G1444+E1444</f>
        <v>0</v>
      </c>
      <c r="I1444" s="795">
        <f>+J1402*G1444+E1444</f>
        <v>0</v>
      </c>
      <c r="J1444" s="792">
        <f t="shared" si="132"/>
        <v>0</v>
      </c>
      <c r="K1444" s="792"/>
      <c r="L1444" s="812"/>
      <c r="M1444" s="792">
        <f t="shared" si="126"/>
        <v>0</v>
      </c>
      <c r="N1444" s="812"/>
      <c r="O1444" s="792">
        <f t="shared" si="127"/>
        <v>0</v>
      </c>
      <c r="P1444" s="792">
        <f t="shared" si="128"/>
        <v>0</v>
      </c>
    </row>
    <row r="1445" spans="3:16">
      <c r="C1445" s="788">
        <f>IF(D1400="","-",+C1444+1)</f>
        <v>2054</v>
      </c>
      <c r="D1445" s="736">
        <f t="shared" si="129"/>
        <v>0</v>
      </c>
      <c r="E1445" s="789">
        <f t="shared" si="131"/>
        <v>0</v>
      </c>
      <c r="F1445" s="789">
        <f t="shared" si="125"/>
        <v>0</v>
      </c>
      <c r="G1445" s="736">
        <f t="shared" si="130"/>
        <v>0</v>
      </c>
      <c r="H1445" s="794">
        <f>+J1401*G1445+E1445</f>
        <v>0</v>
      </c>
      <c r="I1445" s="795">
        <f>+J1402*G1445+E1445</f>
        <v>0</v>
      </c>
      <c r="J1445" s="792">
        <f t="shared" si="132"/>
        <v>0</v>
      </c>
      <c r="K1445" s="792"/>
      <c r="L1445" s="812"/>
      <c r="M1445" s="792">
        <f t="shared" si="126"/>
        <v>0</v>
      </c>
      <c r="N1445" s="812"/>
      <c r="O1445" s="792">
        <f t="shared" si="127"/>
        <v>0</v>
      </c>
      <c r="P1445" s="792">
        <f t="shared" si="128"/>
        <v>0</v>
      </c>
    </row>
    <row r="1446" spans="3:16">
      <c r="C1446" s="788">
        <f>IF(D1400="","-",+C1445+1)</f>
        <v>2055</v>
      </c>
      <c r="D1446" s="736">
        <f t="shared" si="129"/>
        <v>0</v>
      </c>
      <c r="E1446" s="789">
        <f t="shared" si="131"/>
        <v>0</v>
      </c>
      <c r="F1446" s="789">
        <f t="shared" si="125"/>
        <v>0</v>
      </c>
      <c r="G1446" s="736">
        <f t="shared" si="130"/>
        <v>0</v>
      </c>
      <c r="H1446" s="794">
        <f>+J1401*G1446+E1446</f>
        <v>0</v>
      </c>
      <c r="I1446" s="795">
        <f>+J1402*G1446+E1446</f>
        <v>0</v>
      </c>
      <c r="J1446" s="792">
        <f t="shared" si="132"/>
        <v>0</v>
      </c>
      <c r="K1446" s="792"/>
      <c r="L1446" s="812"/>
      <c r="M1446" s="792">
        <f t="shared" si="126"/>
        <v>0</v>
      </c>
      <c r="N1446" s="812"/>
      <c r="O1446" s="792">
        <f t="shared" si="127"/>
        <v>0</v>
      </c>
      <c r="P1446" s="792">
        <f t="shared" si="128"/>
        <v>0</v>
      </c>
    </row>
    <row r="1447" spans="3:16">
      <c r="C1447" s="788">
        <f>IF(D1400="","-",+C1446+1)</f>
        <v>2056</v>
      </c>
      <c r="D1447" s="736">
        <f t="shared" si="129"/>
        <v>0</v>
      </c>
      <c r="E1447" s="789">
        <f t="shared" si="131"/>
        <v>0</v>
      </c>
      <c r="F1447" s="789">
        <f t="shared" si="125"/>
        <v>0</v>
      </c>
      <c r="G1447" s="736">
        <f t="shared" si="130"/>
        <v>0</v>
      </c>
      <c r="H1447" s="794">
        <f>+J1401*G1447+E1447</f>
        <v>0</v>
      </c>
      <c r="I1447" s="795">
        <f>+J1402*G1447+E1447</f>
        <v>0</v>
      </c>
      <c r="J1447" s="792">
        <f t="shared" si="132"/>
        <v>0</v>
      </c>
      <c r="K1447" s="792"/>
      <c r="L1447" s="812"/>
      <c r="M1447" s="792">
        <f t="shared" si="126"/>
        <v>0</v>
      </c>
      <c r="N1447" s="812"/>
      <c r="O1447" s="792">
        <f t="shared" si="127"/>
        <v>0</v>
      </c>
      <c r="P1447" s="792">
        <f t="shared" si="128"/>
        <v>0</v>
      </c>
    </row>
    <row r="1448" spans="3:16">
      <c r="C1448" s="788">
        <f>IF(D1400="","-",+C1447+1)</f>
        <v>2057</v>
      </c>
      <c r="D1448" s="736">
        <f t="shared" si="129"/>
        <v>0</v>
      </c>
      <c r="E1448" s="789">
        <f t="shared" si="131"/>
        <v>0</v>
      </c>
      <c r="F1448" s="789">
        <f t="shared" si="125"/>
        <v>0</v>
      </c>
      <c r="G1448" s="736">
        <f t="shared" si="130"/>
        <v>0</v>
      </c>
      <c r="H1448" s="794">
        <f>+J1401*G1448+E1448</f>
        <v>0</v>
      </c>
      <c r="I1448" s="795">
        <f>+J1402*G1448+E1448</f>
        <v>0</v>
      </c>
      <c r="J1448" s="792">
        <f t="shared" si="132"/>
        <v>0</v>
      </c>
      <c r="K1448" s="792"/>
      <c r="L1448" s="812"/>
      <c r="M1448" s="792">
        <f t="shared" si="126"/>
        <v>0</v>
      </c>
      <c r="N1448" s="812"/>
      <c r="O1448" s="792">
        <f t="shared" si="127"/>
        <v>0</v>
      </c>
      <c r="P1448" s="792">
        <f t="shared" si="128"/>
        <v>0</v>
      </c>
    </row>
    <row r="1449" spans="3:16">
      <c r="C1449" s="788">
        <f>IF(D1400="","-",+C1448+1)</f>
        <v>2058</v>
      </c>
      <c r="D1449" s="736">
        <f t="shared" si="129"/>
        <v>0</v>
      </c>
      <c r="E1449" s="789">
        <f t="shared" si="131"/>
        <v>0</v>
      </c>
      <c r="F1449" s="789">
        <f t="shared" si="125"/>
        <v>0</v>
      </c>
      <c r="G1449" s="736">
        <f t="shared" si="130"/>
        <v>0</v>
      </c>
      <c r="H1449" s="794">
        <f>+J1401*G1449+E1449</f>
        <v>0</v>
      </c>
      <c r="I1449" s="795">
        <f>+J1402*G1449+E1449</f>
        <v>0</v>
      </c>
      <c r="J1449" s="792">
        <f t="shared" si="132"/>
        <v>0</v>
      </c>
      <c r="K1449" s="792"/>
      <c r="L1449" s="812"/>
      <c r="M1449" s="792">
        <f t="shared" si="126"/>
        <v>0</v>
      </c>
      <c r="N1449" s="812"/>
      <c r="O1449" s="792">
        <f t="shared" si="127"/>
        <v>0</v>
      </c>
      <c r="P1449" s="792">
        <f t="shared" si="128"/>
        <v>0</v>
      </c>
    </row>
    <row r="1450" spans="3:16">
      <c r="C1450" s="788">
        <f>IF(D1400="","-",+C1449+1)</f>
        <v>2059</v>
      </c>
      <c r="D1450" s="736">
        <f t="shared" si="129"/>
        <v>0</v>
      </c>
      <c r="E1450" s="789">
        <f t="shared" si="131"/>
        <v>0</v>
      </c>
      <c r="F1450" s="789">
        <f t="shared" si="125"/>
        <v>0</v>
      </c>
      <c r="G1450" s="736">
        <f t="shared" si="130"/>
        <v>0</v>
      </c>
      <c r="H1450" s="794">
        <f>+J1401*G1450+E1450</f>
        <v>0</v>
      </c>
      <c r="I1450" s="795">
        <f>+J1402*G1450+E1450</f>
        <v>0</v>
      </c>
      <c r="J1450" s="792">
        <f t="shared" si="132"/>
        <v>0</v>
      </c>
      <c r="K1450" s="792"/>
      <c r="L1450" s="812"/>
      <c r="M1450" s="792">
        <f t="shared" si="126"/>
        <v>0</v>
      </c>
      <c r="N1450" s="812"/>
      <c r="O1450" s="792">
        <f t="shared" si="127"/>
        <v>0</v>
      </c>
      <c r="P1450" s="792">
        <f t="shared" si="128"/>
        <v>0</v>
      </c>
    </row>
    <row r="1451" spans="3:16">
      <c r="C1451" s="788">
        <f>IF(D1400="","-",+C1450+1)</f>
        <v>2060</v>
      </c>
      <c r="D1451" s="736">
        <f t="shared" si="129"/>
        <v>0</v>
      </c>
      <c r="E1451" s="789">
        <f t="shared" si="131"/>
        <v>0</v>
      </c>
      <c r="F1451" s="789">
        <f t="shared" si="125"/>
        <v>0</v>
      </c>
      <c r="G1451" s="736">
        <f t="shared" si="130"/>
        <v>0</v>
      </c>
      <c r="H1451" s="794">
        <f>+J1401*G1451+E1451</f>
        <v>0</v>
      </c>
      <c r="I1451" s="795">
        <f>+J1402*G1451+E1451</f>
        <v>0</v>
      </c>
      <c r="J1451" s="792">
        <f t="shared" si="132"/>
        <v>0</v>
      </c>
      <c r="K1451" s="792"/>
      <c r="L1451" s="812"/>
      <c r="M1451" s="792">
        <f t="shared" si="126"/>
        <v>0</v>
      </c>
      <c r="N1451" s="812"/>
      <c r="O1451" s="792">
        <f t="shared" si="127"/>
        <v>0</v>
      </c>
      <c r="P1451" s="792">
        <f t="shared" si="128"/>
        <v>0</v>
      </c>
    </row>
    <row r="1452" spans="3:16">
      <c r="C1452" s="788">
        <f>IF(D1400="","-",+C1451+1)</f>
        <v>2061</v>
      </c>
      <c r="D1452" s="736">
        <f t="shared" si="129"/>
        <v>0</v>
      </c>
      <c r="E1452" s="789">
        <f t="shared" si="131"/>
        <v>0</v>
      </c>
      <c r="F1452" s="789">
        <f t="shared" si="125"/>
        <v>0</v>
      </c>
      <c r="G1452" s="736">
        <f t="shared" si="130"/>
        <v>0</v>
      </c>
      <c r="H1452" s="794">
        <f>+J1401*G1452+E1452</f>
        <v>0</v>
      </c>
      <c r="I1452" s="795">
        <f>+J1402*G1452+E1452</f>
        <v>0</v>
      </c>
      <c r="J1452" s="792">
        <f t="shared" si="132"/>
        <v>0</v>
      </c>
      <c r="K1452" s="792"/>
      <c r="L1452" s="812"/>
      <c r="M1452" s="792">
        <f t="shared" si="126"/>
        <v>0</v>
      </c>
      <c r="N1452" s="812"/>
      <c r="O1452" s="792">
        <f t="shared" si="127"/>
        <v>0</v>
      </c>
      <c r="P1452" s="792">
        <f t="shared" si="128"/>
        <v>0</v>
      </c>
    </row>
    <row r="1453" spans="3:16">
      <c r="C1453" s="788">
        <f>IF(D1400="","-",+C1452+1)</f>
        <v>2062</v>
      </c>
      <c r="D1453" s="736">
        <f t="shared" si="129"/>
        <v>0</v>
      </c>
      <c r="E1453" s="789">
        <f t="shared" si="131"/>
        <v>0</v>
      </c>
      <c r="F1453" s="789">
        <f t="shared" si="125"/>
        <v>0</v>
      </c>
      <c r="G1453" s="736">
        <f t="shared" si="130"/>
        <v>0</v>
      </c>
      <c r="H1453" s="794">
        <f>+J1401*G1453+E1453</f>
        <v>0</v>
      </c>
      <c r="I1453" s="795">
        <f>+J1402*G1453+E1453</f>
        <v>0</v>
      </c>
      <c r="J1453" s="792">
        <f t="shared" si="132"/>
        <v>0</v>
      </c>
      <c r="K1453" s="792"/>
      <c r="L1453" s="812"/>
      <c r="M1453" s="792">
        <f t="shared" si="126"/>
        <v>0</v>
      </c>
      <c r="N1453" s="812"/>
      <c r="O1453" s="792">
        <f t="shared" si="127"/>
        <v>0</v>
      </c>
      <c r="P1453" s="792">
        <f t="shared" si="128"/>
        <v>0</v>
      </c>
    </row>
    <row r="1454" spans="3:16">
      <c r="C1454" s="788">
        <f>IF(D1400="","-",+C1453+1)</f>
        <v>2063</v>
      </c>
      <c r="D1454" s="736">
        <f t="shared" si="129"/>
        <v>0</v>
      </c>
      <c r="E1454" s="789">
        <f t="shared" si="131"/>
        <v>0</v>
      </c>
      <c r="F1454" s="789">
        <f t="shared" si="125"/>
        <v>0</v>
      </c>
      <c r="G1454" s="736">
        <f t="shared" si="130"/>
        <v>0</v>
      </c>
      <c r="H1454" s="794">
        <f>+J1401*G1454+E1454</f>
        <v>0</v>
      </c>
      <c r="I1454" s="795">
        <f>+J1402*G1454+E1454</f>
        <v>0</v>
      </c>
      <c r="J1454" s="792">
        <f t="shared" si="132"/>
        <v>0</v>
      </c>
      <c r="K1454" s="792"/>
      <c r="L1454" s="812"/>
      <c r="M1454" s="792">
        <f t="shared" si="126"/>
        <v>0</v>
      </c>
      <c r="N1454" s="812"/>
      <c r="O1454" s="792">
        <f t="shared" si="127"/>
        <v>0</v>
      </c>
      <c r="P1454" s="792">
        <f t="shared" si="128"/>
        <v>0</v>
      </c>
    </row>
    <row r="1455" spans="3:16">
      <c r="C1455" s="788">
        <f>IF(D1400="","-",+C1454+1)</f>
        <v>2064</v>
      </c>
      <c r="D1455" s="736">
        <f t="shared" si="129"/>
        <v>0</v>
      </c>
      <c r="E1455" s="789">
        <f t="shared" si="131"/>
        <v>0</v>
      </c>
      <c r="F1455" s="789">
        <f t="shared" si="125"/>
        <v>0</v>
      </c>
      <c r="G1455" s="736">
        <f t="shared" si="130"/>
        <v>0</v>
      </c>
      <c r="H1455" s="794">
        <f>+J1401*G1455+E1455</f>
        <v>0</v>
      </c>
      <c r="I1455" s="795">
        <f>+J1402*G1455+E1455</f>
        <v>0</v>
      </c>
      <c r="J1455" s="792">
        <f t="shared" si="132"/>
        <v>0</v>
      </c>
      <c r="K1455" s="792"/>
      <c r="L1455" s="812"/>
      <c r="M1455" s="792">
        <f t="shared" si="126"/>
        <v>0</v>
      </c>
      <c r="N1455" s="812"/>
      <c r="O1455" s="792">
        <f t="shared" si="127"/>
        <v>0</v>
      </c>
      <c r="P1455" s="792">
        <f t="shared" si="128"/>
        <v>0</v>
      </c>
    </row>
    <row r="1456" spans="3:16">
      <c r="C1456" s="788">
        <f>IF(D1400="","-",+C1455+1)</f>
        <v>2065</v>
      </c>
      <c r="D1456" s="736">
        <f t="shared" si="129"/>
        <v>0</v>
      </c>
      <c r="E1456" s="789">
        <f t="shared" si="131"/>
        <v>0</v>
      </c>
      <c r="F1456" s="789">
        <f t="shared" si="125"/>
        <v>0</v>
      </c>
      <c r="G1456" s="736">
        <f t="shared" si="130"/>
        <v>0</v>
      </c>
      <c r="H1456" s="794">
        <f>+J1401*G1456+E1456</f>
        <v>0</v>
      </c>
      <c r="I1456" s="795">
        <f>+J1402*G1456+E1456</f>
        <v>0</v>
      </c>
      <c r="J1456" s="792">
        <f t="shared" si="132"/>
        <v>0</v>
      </c>
      <c r="K1456" s="792"/>
      <c r="L1456" s="812"/>
      <c r="M1456" s="792">
        <f t="shared" si="126"/>
        <v>0</v>
      </c>
      <c r="N1456" s="812"/>
      <c r="O1456" s="792">
        <f t="shared" si="127"/>
        <v>0</v>
      </c>
      <c r="P1456" s="792">
        <f t="shared" si="128"/>
        <v>0</v>
      </c>
    </row>
    <row r="1457" spans="3:16">
      <c r="C1457" s="788">
        <f>IF(D1400="","-",+C1456+1)</f>
        <v>2066</v>
      </c>
      <c r="D1457" s="736">
        <f t="shared" si="129"/>
        <v>0</v>
      </c>
      <c r="E1457" s="789">
        <f t="shared" si="131"/>
        <v>0</v>
      </c>
      <c r="F1457" s="789">
        <f t="shared" si="125"/>
        <v>0</v>
      </c>
      <c r="G1457" s="736">
        <f t="shared" si="130"/>
        <v>0</v>
      </c>
      <c r="H1457" s="794">
        <f>+J1401*G1457+E1457</f>
        <v>0</v>
      </c>
      <c r="I1457" s="795">
        <f>+J1402*G1457+E1457</f>
        <v>0</v>
      </c>
      <c r="J1457" s="792">
        <f t="shared" si="132"/>
        <v>0</v>
      </c>
      <c r="K1457" s="792"/>
      <c r="L1457" s="812"/>
      <c r="M1457" s="792">
        <f t="shared" si="126"/>
        <v>0</v>
      </c>
      <c r="N1457" s="812"/>
      <c r="O1457" s="792">
        <f t="shared" si="127"/>
        <v>0</v>
      </c>
      <c r="P1457" s="792">
        <f t="shared" si="128"/>
        <v>0</v>
      </c>
    </row>
    <row r="1458" spans="3:16">
      <c r="C1458" s="788">
        <f>IF(D1400="","-",+C1457+1)</f>
        <v>2067</v>
      </c>
      <c r="D1458" s="736">
        <f t="shared" si="129"/>
        <v>0</v>
      </c>
      <c r="E1458" s="789">
        <f t="shared" si="131"/>
        <v>0</v>
      </c>
      <c r="F1458" s="789">
        <f t="shared" si="125"/>
        <v>0</v>
      </c>
      <c r="G1458" s="736">
        <f t="shared" si="130"/>
        <v>0</v>
      </c>
      <c r="H1458" s="794">
        <f>+J1401*G1458+E1458</f>
        <v>0</v>
      </c>
      <c r="I1458" s="795">
        <f>+J1402*G1458+E1458</f>
        <v>0</v>
      </c>
      <c r="J1458" s="792">
        <f t="shared" si="132"/>
        <v>0</v>
      </c>
      <c r="K1458" s="792"/>
      <c r="L1458" s="812"/>
      <c r="M1458" s="792">
        <f t="shared" si="126"/>
        <v>0</v>
      </c>
      <c r="N1458" s="812"/>
      <c r="O1458" s="792">
        <f t="shared" si="127"/>
        <v>0</v>
      </c>
      <c r="P1458" s="792">
        <f t="shared" si="128"/>
        <v>0</v>
      </c>
    </row>
    <row r="1459" spans="3:16">
      <c r="C1459" s="788">
        <f>IF(D1400="","-",+C1458+1)</f>
        <v>2068</v>
      </c>
      <c r="D1459" s="736">
        <f t="shared" si="129"/>
        <v>0</v>
      </c>
      <c r="E1459" s="789">
        <f t="shared" si="131"/>
        <v>0</v>
      </c>
      <c r="F1459" s="789">
        <f t="shared" si="125"/>
        <v>0</v>
      </c>
      <c r="G1459" s="736">
        <f t="shared" si="130"/>
        <v>0</v>
      </c>
      <c r="H1459" s="794">
        <f>+J1401*G1459+E1459</f>
        <v>0</v>
      </c>
      <c r="I1459" s="795">
        <f>+J1402*G1459+E1459</f>
        <v>0</v>
      </c>
      <c r="J1459" s="792">
        <f t="shared" si="132"/>
        <v>0</v>
      </c>
      <c r="K1459" s="792"/>
      <c r="L1459" s="812"/>
      <c r="M1459" s="792">
        <f t="shared" si="126"/>
        <v>0</v>
      </c>
      <c r="N1459" s="812"/>
      <c r="O1459" s="792">
        <f t="shared" si="127"/>
        <v>0</v>
      </c>
      <c r="P1459" s="792">
        <f t="shared" si="128"/>
        <v>0</v>
      </c>
    </row>
    <row r="1460" spans="3:16">
      <c r="C1460" s="788">
        <f>IF(D1400="","-",+C1459+1)</f>
        <v>2069</v>
      </c>
      <c r="D1460" s="736">
        <f t="shared" si="129"/>
        <v>0</v>
      </c>
      <c r="E1460" s="789">
        <f t="shared" si="131"/>
        <v>0</v>
      </c>
      <c r="F1460" s="789">
        <f t="shared" si="125"/>
        <v>0</v>
      </c>
      <c r="G1460" s="736">
        <f t="shared" si="130"/>
        <v>0</v>
      </c>
      <c r="H1460" s="794">
        <f>+J1401*G1460+E1460</f>
        <v>0</v>
      </c>
      <c r="I1460" s="795">
        <f>+J1402*G1460+E1460</f>
        <v>0</v>
      </c>
      <c r="J1460" s="792">
        <f t="shared" si="132"/>
        <v>0</v>
      </c>
      <c r="K1460" s="792"/>
      <c r="L1460" s="812"/>
      <c r="M1460" s="792">
        <f t="shared" si="126"/>
        <v>0</v>
      </c>
      <c r="N1460" s="812"/>
      <c r="O1460" s="792">
        <f t="shared" si="127"/>
        <v>0</v>
      </c>
      <c r="P1460" s="792">
        <f t="shared" si="128"/>
        <v>0</v>
      </c>
    </row>
    <row r="1461" spans="3:16">
      <c r="C1461" s="788">
        <f>IF(D1400="","-",+C1460+1)</f>
        <v>2070</v>
      </c>
      <c r="D1461" s="736">
        <f t="shared" si="129"/>
        <v>0</v>
      </c>
      <c r="E1461" s="789">
        <f t="shared" si="131"/>
        <v>0</v>
      </c>
      <c r="F1461" s="789">
        <f t="shared" si="125"/>
        <v>0</v>
      </c>
      <c r="G1461" s="736">
        <f t="shared" si="130"/>
        <v>0</v>
      </c>
      <c r="H1461" s="794">
        <f>+J1401*G1461+E1461</f>
        <v>0</v>
      </c>
      <c r="I1461" s="795">
        <f>+J1402*G1461+E1461</f>
        <v>0</v>
      </c>
      <c r="J1461" s="792">
        <f t="shared" si="132"/>
        <v>0</v>
      </c>
      <c r="K1461" s="792"/>
      <c r="L1461" s="812"/>
      <c r="M1461" s="792">
        <f t="shared" si="126"/>
        <v>0</v>
      </c>
      <c r="N1461" s="812"/>
      <c r="O1461" s="792">
        <f t="shared" si="127"/>
        <v>0</v>
      </c>
      <c r="P1461" s="792">
        <f t="shared" si="128"/>
        <v>0</v>
      </c>
    </row>
    <row r="1462" spans="3:16">
      <c r="C1462" s="788">
        <f>IF(D1400="","-",+C1461+1)</f>
        <v>2071</v>
      </c>
      <c r="D1462" s="736">
        <f t="shared" si="129"/>
        <v>0</v>
      </c>
      <c r="E1462" s="789">
        <f t="shared" si="131"/>
        <v>0</v>
      </c>
      <c r="F1462" s="789">
        <f t="shared" si="125"/>
        <v>0</v>
      </c>
      <c r="G1462" s="736">
        <f t="shared" si="130"/>
        <v>0</v>
      </c>
      <c r="H1462" s="794">
        <f>+J1401*G1462+E1462</f>
        <v>0</v>
      </c>
      <c r="I1462" s="795">
        <f>+J1402*G1462+E1462</f>
        <v>0</v>
      </c>
      <c r="J1462" s="792">
        <f t="shared" si="132"/>
        <v>0</v>
      </c>
      <c r="K1462" s="792"/>
      <c r="L1462" s="812"/>
      <c r="M1462" s="792">
        <f t="shared" si="126"/>
        <v>0</v>
      </c>
      <c r="N1462" s="812"/>
      <c r="O1462" s="792">
        <f t="shared" si="127"/>
        <v>0</v>
      </c>
      <c r="P1462" s="792">
        <f t="shared" si="128"/>
        <v>0</v>
      </c>
    </row>
    <row r="1463" spans="3:16">
      <c r="C1463" s="788">
        <f>IF(D1400="","-",+C1462+1)</f>
        <v>2072</v>
      </c>
      <c r="D1463" s="736">
        <f t="shared" si="129"/>
        <v>0</v>
      </c>
      <c r="E1463" s="789">
        <f t="shared" si="131"/>
        <v>0</v>
      </c>
      <c r="F1463" s="789">
        <f t="shared" si="125"/>
        <v>0</v>
      </c>
      <c r="G1463" s="736">
        <f t="shared" si="130"/>
        <v>0</v>
      </c>
      <c r="H1463" s="794">
        <f>+J1401*G1463+E1463</f>
        <v>0</v>
      </c>
      <c r="I1463" s="795">
        <f>+J1402*G1463+E1463</f>
        <v>0</v>
      </c>
      <c r="J1463" s="792">
        <f t="shared" si="132"/>
        <v>0</v>
      </c>
      <c r="K1463" s="792"/>
      <c r="L1463" s="812"/>
      <c r="M1463" s="792">
        <f t="shared" si="126"/>
        <v>0</v>
      </c>
      <c r="N1463" s="812"/>
      <c r="O1463" s="792">
        <f t="shared" si="127"/>
        <v>0</v>
      </c>
      <c r="P1463" s="792">
        <f t="shared" si="128"/>
        <v>0</v>
      </c>
    </row>
    <row r="1464" spans="3:16">
      <c r="C1464" s="788">
        <f>IF(D1400="","-",+C1463+1)</f>
        <v>2073</v>
      </c>
      <c r="D1464" s="736">
        <f t="shared" si="129"/>
        <v>0</v>
      </c>
      <c r="E1464" s="789">
        <f t="shared" si="131"/>
        <v>0</v>
      </c>
      <c r="F1464" s="789">
        <f t="shared" si="125"/>
        <v>0</v>
      </c>
      <c r="G1464" s="736">
        <f t="shared" si="130"/>
        <v>0</v>
      </c>
      <c r="H1464" s="794">
        <f>+J1401*G1464+E1464</f>
        <v>0</v>
      </c>
      <c r="I1464" s="795">
        <f>+J1402*G1464+E1464</f>
        <v>0</v>
      </c>
      <c r="J1464" s="792">
        <f t="shared" si="132"/>
        <v>0</v>
      </c>
      <c r="K1464" s="792"/>
      <c r="L1464" s="812"/>
      <c r="M1464" s="792">
        <f t="shared" si="126"/>
        <v>0</v>
      </c>
      <c r="N1464" s="812"/>
      <c r="O1464" s="792">
        <f t="shared" si="127"/>
        <v>0</v>
      </c>
      <c r="P1464" s="792">
        <f t="shared" si="128"/>
        <v>0</v>
      </c>
    </row>
    <row r="1465" spans="3:16" ht="13.5" thickBot="1">
      <c r="C1465" s="798">
        <f>IF(D1400="","-",+C1464+1)</f>
        <v>2074</v>
      </c>
      <c r="D1465" s="799">
        <f t="shared" si="129"/>
        <v>0</v>
      </c>
      <c r="E1465" s="800">
        <f>IF(D1465&gt;$J$1055,$J$1055,D1465)</f>
        <v>0</v>
      </c>
      <c r="F1465" s="1322">
        <f t="shared" si="125"/>
        <v>0</v>
      </c>
      <c r="G1465" s="799">
        <f t="shared" si="130"/>
        <v>0</v>
      </c>
      <c r="H1465" s="801">
        <f>+J1401*G1465+E1465</f>
        <v>0</v>
      </c>
      <c r="I1465" s="801">
        <f>+J1402*G1465+E1465</f>
        <v>0</v>
      </c>
      <c r="J1465" s="802">
        <f t="shared" si="132"/>
        <v>0</v>
      </c>
      <c r="K1465" s="792"/>
      <c r="L1465" s="813"/>
      <c r="M1465" s="802">
        <f t="shared" si="126"/>
        <v>0</v>
      </c>
      <c r="N1465" s="813"/>
      <c r="O1465" s="802">
        <f t="shared" si="127"/>
        <v>0</v>
      </c>
      <c r="P1465" s="802">
        <f t="shared" si="128"/>
        <v>0</v>
      </c>
    </row>
    <row r="1466" spans="3:16">
      <c r="C1466" s="736" t="s">
        <v>83</v>
      </c>
      <c r="D1466" s="730"/>
      <c r="E1466" s="730">
        <f>SUM(E1406:E1465)</f>
        <v>18412074.41</v>
      </c>
      <c r="F1466" s="730"/>
      <c r="G1466" s="730"/>
      <c r="H1466" s="730">
        <f>SUM(H1406:H1465)</f>
        <v>66524868.030691408</v>
      </c>
      <c r="I1466" s="730">
        <f>SUM(I1406:I1465)</f>
        <v>66524868.030691408</v>
      </c>
      <c r="J1466" s="730">
        <f>SUM(J1406:J1465)</f>
        <v>0</v>
      </c>
      <c r="K1466" s="730"/>
      <c r="L1466" s="730"/>
      <c r="M1466" s="730"/>
      <c r="N1466" s="730"/>
      <c r="O1466" s="730"/>
    </row>
    <row r="1467" spans="3:16">
      <c r="D1467" s="538"/>
      <c r="E1467" s="313"/>
      <c r="F1467" s="313"/>
      <c r="G1467" s="313"/>
      <c r="H1467" s="313"/>
      <c r="I1467" s="708"/>
      <c r="J1467" s="708"/>
      <c r="K1467" s="730"/>
      <c r="L1467" s="708"/>
      <c r="M1467" s="708"/>
      <c r="N1467" s="708"/>
      <c r="O1467" s="708"/>
    </row>
    <row r="1468" spans="3:16">
      <c r="C1468" s="313" t="s">
        <v>13</v>
      </c>
      <c r="D1468" s="538"/>
      <c r="E1468" s="313"/>
      <c r="F1468" s="313"/>
      <c r="G1468" s="313"/>
      <c r="H1468" s="313"/>
      <c r="I1468" s="708"/>
      <c r="J1468" s="708"/>
      <c r="K1468" s="730"/>
      <c r="L1468" s="708"/>
      <c r="M1468" s="708"/>
      <c r="N1468" s="708"/>
      <c r="O1468" s="708"/>
    </row>
    <row r="1469" spans="3:16">
      <c r="C1469" s="313"/>
      <c r="D1469" s="538"/>
      <c r="E1469" s="313"/>
      <c r="F1469" s="313"/>
      <c r="G1469" s="313"/>
      <c r="H1469" s="313"/>
      <c r="I1469" s="708"/>
      <c r="J1469" s="708"/>
      <c r="K1469" s="730"/>
      <c r="L1469" s="708"/>
      <c r="M1469" s="708"/>
      <c r="N1469" s="708"/>
      <c r="O1469" s="708"/>
    </row>
    <row r="1470" spans="3:16">
      <c r="C1470" s="749" t="s">
        <v>14</v>
      </c>
      <c r="D1470" s="736"/>
      <c r="E1470" s="736"/>
      <c r="F1470" s="736"/>
      <c r="G1470" s="736"/>
      <c r="H1470" s="730"/>
      <c r="I1470" s="730"/>
      <c r="J1470" s="804"/>
      <c r="K1470" s="804"/>
      <c r="L1470" s="804"/>
      <c r="M1470" s="804"/>
      <c r="N1470" s="804"/>
      <c r="O1470" s="804"/>
    </row>
    <row r="1471" spans="3:16">
      <c r="C1471" s="735" t="s">
        <v>263</v>
      </c>
      <c r="D1471" s="736"/>
      <c r="E1471" s="736"/>
      <c r="F1471" s="736"/>
      <c r="G1471" s="736"/>
      <c r="H1471" s="730"/>
      <c r="I1471" s="730"/>
      <c r="J1471" s="804"/>
      <c r="K1471" s="804"/>
      <c r="L1471" s="804"/>
      <c r="M1471" s="804"/>
      <c r="N1471" s="804"/>
      <c r="O1471" s="804"/>
    </row>
    <row r="1472" spans="3:16">
      <c r="C1472" s="735" t="s">
        <v>84</v>
      </c>
      <c r="D1472" s="736"/>
      <c r="E1472" s="736"/>
      <c r="F1472" s="736"/>
      <c r="G1472" s="736"/>
      <c r="H1472" s="730"/>
      <c r="I1472" s="730"/>
      <c r="J1472" s="804"/>
      <c r="K1472" s="804"/>
      <c r="L1472" s="804"/>
      <c r="M1472" s="804"/>
      <c r="N1472" s="804"/>
      <c r="O1472" s="804"/>
    </row>
    <row r="1474" spans="1:17" ht="20.25">
      <c r="A1474" s="737" t="str">
        <f>""&amp;A1398&amp;" Worksheet K -  ATRR TRUE-UP Calculation for PJM Projects Charged to Benefiting Zones"</f>
        <v xml:space="preserve"> Worksheet K -  ATRR TRUE-UP Calculation for PJM Projects Charged to Benefiting Zones</v>
      </c>
      <c r="B1474" s="347"/>
      <c r="C1474" s="725"/>
      <c r="D1474" s="538"/>
      <c r="E1474" s="313"/>
      <c r="F1474" s="707"/>
      <c r="G1474" s="707"/>
      <c r="H1474" s="313"/>
      <c r="I1474" s="708"/>
      <c r="L1474" s="564"/>
      <c r="M1474" s="564"/>
      <c r="N1474" s="564"/>
      <c r="O1474" s="653" t="str">
        <f>"Page "&amp;SUM(Q$8:Q1474)&amp;" of "</f>
        <v xml:space="preserve">Page 18 of </v>
      </c>
      <c r="P1474" s="654">
        <f>COUNT(Q$8:Q$57703)</f>
        <v>22</v>
      </c>
      <c r="Q1474" s="655">
        <v>1</v>
      </c>
    </row>
    <row r="1475" spans="1:17">
      <c r="B1475" s="347"/>
      <c r="C1475" s="313"/>
      <c r="D1475" s="538"/>
      <c r="E1475" s="313"/>
      <c r="F1475" s="313"/>
      <c r="G1475" s="313"/>
      <c r="H1475" s="313"/>
      <c r="I1475" s="708"/>
      <c r="J1475" s="313"/>
      <c r="K1475" s="426"/>
    </row>
    <row r="1476" spans="1:17" ht="18">
      <c r="B1476" s="657" t="s">
        <v>466</v>
      </c>
      <c r="C1476" s="739" t="s">
        <v>85</v>
      </c>
      <c r="D1476" s="538"/>
      <c r="E1476" s="313"/>
      <c r="F1476" s="313"/>
      <c r="G1476" s="313"/>
      <c r="H1476" s="313"/>
      <c r="I1476" s="708"/>
      <c r="J1476" s="708"/>
      <c r="K1476" s="730"/>
      <c r="L1476" s="708"/>
      <c r="M1476" s="708"/>
      <c r="N1476" s="708"/>
      <c r="O1476" s="708"/>
    </row>
    <row r="1477" spans="1:17" ht="18.75">
      <c r="B1477" s="657"/>
      <c r="C1477" s="656"/>
      <c r="D1477" s="538"/>
      <c r="E1477" s="313"/>
      <c r="F1477" s="313"/>
      <c r="G1477" s="313"/>
      <c r="H1477" s="313"/>
      <c r="I1477" s="708"/>
      <c r="J1477" s="708"/>
      <c r="K1477" s="730"/>
      <c r="L1477" s="708"/>
      <c r="M1477" s="708"/>
      <c r="N1477" s="708"/>
      <c r="O1477" s="708"/>
    </row>
    <row r="1478" spans="1:17" ht="18.75">
      <c r="B1478" s="657"/>
      <c r="C1478" s="656" t="s">
        <v>86</v>
      </c>
      <c r="D1478" s="538"/>
      <c r="E1478" s="313"/>
      <c r="F1478" s="313"/>
      <c r="G1478" s="313"/>
      <c r="H1478" s="313"/>
      <c r="I1478" s="708"/>
      <c r="J1478" s="708"/>
      <c r="K1478" s="730"/>
      <c r="L1478" s="708"/>
      <c r="M1478" s="708"/>
      <c r="N1478" s="708"/>
      <c r="O1478" s="708"/>
    </row>
    <row r="1479" spans="1:17" ht="15.75" thickBot="1">
      <c r="C1479" s="239"/>
      <c r="D1479" s="538"/>
      <c r="E1479" s="313"/>
      <c r="F1479" s="313"/>
      <c r="G1479" s="313"/>
      <c r="H1479" s="313"/>
      <c r="I1479" s="708"/>
      <c r="J1479" s="708"/>
      <c r="K1479" s="730"/>
      <c r="L1479" s="708"/>
      <c r="M1479" s="708"/>
      <c r="N1479" s="708"/>
      <c r="O1479" s="708"/>
    </row>
    <row r="1480" spans="1:17" ht="15.75">
      <c r="C1480" s="659" t="s">
        <v>87</v>
      </c>
      <c r="D1480" s="538"/>
      <c r="E1480" s="313"/>
      <c r="F1480" s="313"/>
      <c r="G1480" s="313"/>
      <c r="H1480" s="806"/>
      <c r="I1480" s="313" t="s">
        <v>66</v>
      </c>
      <c r="J1480" s="313"/>
      <c r="K1480" s="426"/>
      <c r="L1480" s="835">
        <f>+J1486</f>
        <v>2023</v>
      </c>
      <c r="M1480" s="816" t="s">
        <v>45</v>
      </c>
      <c r="N1480" s="816" t="s">
        <v>46</v>
      </c>
      <c r="O1480" s="817" t="s">
        <v>47</v>
      </c>
    </row>
    <row r="1481" spans="1:17" ht="15.75">
      <c r="C1481" s="659"/>
      <c r="D1481" s="538"/>
      <c r="E1481" s="313"/>
      <c r="F1481" s="313"/>
      <c r="H1481" s="313"/>
      <c r="I1481" s="744"/>
      <c r="J1481" s="744"/>
      <c r="K1481" s="745"/>
      <c r="L1481" s="836" t="s">
        <v>235</v>
      </c>
      <c r="M1481" s="837">
        <v>0</v>
      </c>
      <c r="N1481" s="837">
        <v>0</v>
      </c>
      <c r="O1481" s="838">
        <f>+N1481-M1481</f>
        <v>0</v>
      </c>
    </row>
    <row r="1482" spans="1:17" ht="12.95" customHeight="1">
      <c r="C1482" s="749" t="s">
        <v>88</v>
      </c>
      <c r="D1482" s="1537" t="s">
        <v>826</v>
      </c>
      <c r="E1482" s="1537"/>
      <c r="F1482" s="1537"/>
      <c r="G1482" s="1537"/>
      <c r="H1482" s="1537"/>
      <c r="I1482" s="1537"/>
      <c r="J1482" s="1537"/>
      <c r="K1482" s="730"/>
      <c r="L1482" s="836" t="s">
        <v>236</v>
      </c>
      <c r="M1482" s="839">
        <v>0</v>
      </c>
      <c r="N1482" s="839">
        <v>0</v>
      </c>
      <c r="O1482" s="840">
        <f>+N1482-M1482</f>
        <v>0</v>
      </c>
    </row>
    <row r="1483" spans="1:17" ht="13.5" thickBot="1">
      <c r="C1483" s="753"/>
      <c r="D1483" s="1537"/>
      <c r="E1483" s="1537"/>
      <c r="F1483" s="1537"/>
      <c r="G1483" s="1537"/>
      <c r="H1483" s="1537"/>
      <c r="I1483" s="1537"/>
      <c r="J1483" s="1537"/>
      <c r="K1483" s="730"/>
      <c r="L1483" s="772" t="s">
        <v>237</v>
      </c>
      <c r="M1483" s="841">
        <f>+M1482-M1481</f>
        <v>0</v>
      </c>
      <c r="N1483" s="841">
        <f>+N1482-N1481</f>
        <v>0</v>
      </c>
      <c r="O1483" s="842">
        <f>+O1482-O1481</f>
        <v>0</v>
      </c>
    </row>
    <row r="1484" spans="1:17" ht="13.5" thickBot="1">
      <c r="C1484" s="756"/>
      <c r="D1484" s="757"/>
      <c r="E1484" s="755"/>
      <c r="F1484" s="755"/>
      <c r="G1484" s="755"/>
      <c r="H1484" s="755"/>
      <c r="I1484" s="755"/>
      <c r="J1484" s="755"/>
      <c r="K1484" s="758"/>
      <c r="L1484" s="755"/>
      <c r="M1484" s="755"/>
      <c r="N1484" s="755"/>
      <c r="O1484" s="755"/>
      <c r="P1484" s="347"/>
    </row>
    <row r="1485" spans="1:17" ht="13.5" thickBot="1">
      <c r="C1485" s="759" t="s">
        <v>89</v>
      </c>
      <c r="D1485" s="760"/>
      <c r="E1485" s="760"/>
      <c r="F1485" s="760"/>
      <c r="G1485" s="760"/>
      <c r="H1485" s="760"/>
      <c r="I1485" s="760"/>
      <c r="J1485" s="760"/>
      <c r="K1485" s="762"/>
      <c r="P1485" s="763"/>
    </row>
    <row r="1486" spans="1:17" ht="15">
      <c r="C1486" s="764" t="s">
        <v>67</v>
      </c>
      <c r="D1486" s="808">
        <v>0</v>
      </c>
      <c r="E1486" s="725" t="s">
        <v>68</v>
      </c>
      <c r="H1486" s="765"/>
      <c r="I1486" s="765"/>
      <c r="J1486" s="766">
        <f>$J$93</f>
        <v>2023</v>
      </c>
      <c r="K1486" s="554"/>
      <c r="L1486" s="1536" t="s">
        <v>69</v>
      </c>
      <c r="M1486" s="1536"/>
      <c r="N1486" s="1536"/>
      <c r="O1486" s="1536"/>
      <c r="P1486" s="426"/>
    </row>
    <row r="1487" spans="1:17">
      <c r="C1487" s="764" t="s">
        <v>70</v>
      </c>
      <c r="D1487" s="1323"/>
      <c r="E1487" s="764" t="s">
        <v>71</v>
      </c>
      <c r="F1487" s="765"/>
      <c r="G1487" s="765"/>
      <c r="I1487" s="172"/>
      <c r="J1487" s="810">
        <f>IF(H1480="",0,$F$17)</f>
        <v>0</v>
      </c>
      <c r="K1487" s="767"/>
      <c r="L1487" s="730" t="s">
        <v>277</v>
      </c>
      <c r="P1487" s="426"/>
    </row>
    <row r="1488" spans="1:17">
      <c r="C1488" s="764" t="s">
        <v>72</v>
      </c>
      <c r="D1488" s="1324"/>
      <c r="E1488" s="764" t="s">
        <v>73</v>
      </c>
      <c r="F1488" s="765"/>
      <c r="G1488" s="765"/>
      <c r="I1488" s="172"/>
      <c r="J1488" s="768">
        <f>$F$70</f>
        <v>0.14450383244078713</v>
      </c>
      <c r="K1488" s="769"/>
      <c r="L1488" s="313" t="str">
        <f>"          INPUT TRUE-UP ARR (WITH &amp; WITHOUT INCENTIVES) FROM EACH PRIOR YEAR"</f>
        <v xml:space="preserve">          INPUT TRUE-UP ARR (WITH &amp; WITHOUT INCENTIVES) FROM EACH PRIOR YEAR</v>
      </c>
      <c r="P1488" s="426"/>
    </row>
    <row r="1489" spans="2:16">
      <c r="C1489" s="764" t="s">
        <v>74</v>
      </c>
      <c r="D1489" s="770">
        <f>H$79</f>
        <v>35</v>
      </c>
      <c r="E1489" s="764" t="s">
        <v>75</v>
      </c>
      <c r="F1489" s="765"/>
      <c r="G1489" s="765"/>
      <c r="I1489" s="172"/>
      <c r="J1489" s="768">
        <f>IF(H1480="",+J1488,$F$69)</f>
        <v>0.14450383244078713</v>
      </c>
      <c r="K1489" s="771"/>
      <c r="L1489" s="313" t="s">
        <v>157</v>
      </c>
      <c r="M1489" s="771"/>
      <c r="N1489" s="771"/>
      <c r="O1489" s="771"/>
      <c r="P1489" s="426"/>
    </row>
    <row r="1490" spans="2:16" ht="13.5" thickBot="1">
      <c r="C1490" s="764" t="s">
        <v>76</v>
      </c>
      <c r="D1490" s="807" t="s">
        <v>808</v>
      </c>
      <c r="E1490" s="772" t="s">
        <v>77</v>
      </c>
      <c r="F1490" s="773"/>
      <c r="G1490" s="773"/>
      <c r="H1490" s="774"/>
      <c r="I1490" s="774"/>
      <c r="J1490" s="752">
        <f>IF(D1486=0,0,D1486/D1489)</f>
        <v>0</v>
      </c>
      <c r="K1490" s="730"/>
      <c r="L1490" s="730" t="s">
        <v>158</v>
      </c>
      <c r="M1490" s="730"/>
      <c r="N1490" s="730"/>
      <c r="O1490" s="730"/>
      <c r="P1490" s="426"/>
    </row>
    <row r="1491" spans="2:16" ht="38.25">
      <c r="B1491" s="845"/>
      <c r="C1491" s="775" t="s">
        <v>67</v>
      </c>
      <c r="D1491" s="776" t="s">
        <v>78</v>
      </c>
      <c r="E1491" s="777" t="s">
        <v>79</v>
      </c>
      <c r="F1491" s="776" t="s">
        <v>80</v>
      </c>
      <c r="G1491" s="776" t="s">
        <v>238</v>
      </c>
      <c r="H1491" s="777" t="s">
        <v>151</v>
      </c>
      <c r="I1491" s="778" t="s">
        <v>151</v>
      </c>
      <c r="J1491" s="775" t="s">
        <v>90</v>
      </c>
      <c r="K1491" s="779"/>
      <c r="L1491" s="777" t="s">
        <v>153</v>
      </c>
      <c r="M1491" s="777" t="s">
        <v>159</v>
      </c>
      <c r="N1491" s="777" t="s">
        <v>153</v>
      </c>
      <c r="O1491" s="777" t="s">
        <v>161</v>
      </c>
      <c r="P1491" s="777" t="s">
        <v>81</v>
      </c>
    </row>
    <row r="1492" spans="2:16" ht="13.5" thickBot="1">
      <c r="C1492" s="781" t="s">
        <v>469</v>
      </c>
      <c r="D1492" s="782" t="s">
        <v>470</v>
      </c>
      <c r="E1492" s="781" t="s">
        <v>363</v>
      </c>
      <c r="F1492" s="782" t="s">
        <v>470</v>
      </c>
      <c r="G1492" s="782" t="s">
        <v>470</v>
      </c>
      <c r="H1492" s="783" t="s">
        <v>93</v>
      </c>
      <c r="I1492" s="784" t="s">
        <v>95</v>
      </c>
      <c r="J1492" s="785" t="s">
        <v>15</v>
      </c>
      <c r="K1492" s="786"/>
      <c r="L1492" s="783" t="s">
        <v>82</v>
      </c>
      <c r="M1492" s="783" t="s">
        <v>82</v>
      </c>
      <c r="N1492" s="783" t="s">
        <v>255</v>
      </c>
      <c r="O1492" s="783" t="s">
        <v>255</v>
      </c>
      <c r="P1492" s="783" t="s">
        <v>255</v>
      </c>
    </row>
    <row r="1493" spans="2:16">
      <c r="C1493" s="1312" t="str">
        <f>IF(D1487= "","-",D1487)</f>
        <v>-</v>
      </c>
      <c r="D1493" s="736">
        <f>+D1486</f>
        <v>0</v>
      </c>
      <c r="E1493" s="794">
        <f>+J1490/12*(12-D1488)</f>
        <v>0</v>
      </c>
      <c r="F1493" s="843">
        <f t="shared" ref="F1493:F1552" si="133">+D1493-E1493</f>
        <v>0</v>
      </c>
      <c r="G1493" s="736">
        <f>+(D1493+F1493)/2</f>
        <v>0</v>
      </c>
      <c r="H1493" s="790">
        <f>+J1488*G1493+E1493</f>
        <v>0</v>
      </c>
      <c r="I1493" s="791">
        <f>+J1489*G1493+E1493</f>
        <v>0</v>
      </c>
      <c r="J1493" s="792">
        <f>+I1493-H1493</f>
        <v>0</v>
      </c>
      <c r="K1493" s="792"/>
      <c r="L1493" s="811">
        <v>0</v>
      </c>
      <c r="M1493" s="844">
        <f t="shared" ref="M1493:M1552" si="134">IF(L1493&lt;&gt;0,+H1493-L1493,0)</f>
        <v>0</v>
      </c>
      <c r="N1493" s="811">
        <v>0</v>
      </c>
      <c r="O1493" s="844">
        <f t="shared" ref="O1493:O1552" si="135">IF(N1493&lt;&gt;0,+I1493-N1493,0)</f>
        <v>0</v>
      </c>
      <c r="P1493" s="844">
        <f t="shared" ref="P1493:P1552" si="136">+O1493-M1493</f>
        <v>0</v>
      </c>
    </row>
    <row r="1494" spans="2:16">
      <c r="C1494" s="788" t="str">
        <f>IF(D1487="","-",+C1493+1)</f>
        <v>-</v>
      </c>
      <c r="D1494" s="736">
        <f t="shared" ref="D1494:D1552" si="137">F1493</f>
        <v>0</v>
      </c>
      <c r="E1494" s="789">
        <f>IF(D1494&gt;$J$1055,$J$1055,D1494)</f>
        <v>0</v>
      </c>
      <c r="F1494" s="789">
        <f t="shared" si="133"/>
        <v>0</v>
      </c>
      <c r="G1494" s="736">
        <f t="shared" ref="G1494:G1552" si="138">+(D1494+F1494)/2</f>
        <v>0</v>
      </c>
      <c r="H1494" s="794">
        <f>+J1488*G1494+E1494</f>
        <v>0</v>
      </c>
      <c r="I1494" s="795">
        <f>+J1489*G1494+E1494</f>
        <v>0</v>
      </c>
      <c r="J1494" s="792">
        <f>+I1494-H1494</f>
        <v>0</v>
      </c>
      <c r="K1494" s="792"/>
      <c r="L1494" s="812">
        <v>0</v>
      </c>
      <c r="M1494" s="792">
        <f t="shared" si="134"/>
        <v>0</v>
      </c>
      <c r="N1494" s="812">
        <v>0</v>
      </c>
      <c r="O1494" s="792">
        <f t="shared" si="135"/>
        <v>0</v>
      </c>
      <c r="P1494" s="792">
        <f t="shared" si="136"/>
        <v>0</v>
      </c>
    </row>
    <row r="1495" spans="2:16">
      <c r="C1495" s="788" t="str">
        <f>IF(D1487="","-",+C1494+1)</f>
        <v>-</v>
      </c>
      <c r="D1495" s="736">
        <f t="shared" si="137"/>
        <v>0</v>
      </c>
      <c r="E1495" s="789">
        <f t="shared" ref="E1495:E1552" si="139">IF(D1495&gt;$J$1055,$J$1055,D1495)</f>
        <v>0</v>
      </c>
      <c r="F1495" s="789">
        <f t="shared" si="133"/>
        <v>0</v>
      </c>
      <c r="G1495" s="736">
        <f t="shared" si="138"/>
        <v>0</v>
      </c>
      <c r="H1495" s="794">
        <f>+J1488*G1495+E1495</f>
        <v>0</v>
      </c>
      <c r="I1495" s="795">
        <f>+J1489*G1495+E1495</f>
        <v>0</v>
      </c>
      <c r="J1495" s="792">
        <f t="shared" ref="J1495:J1552" si="140">+I1495-H1495</f>
        <v>0</v>
      </c>
      <c r="K1495" s="792"/>
      <c r="L1495" s="812">
        <v>0</v>
      </c>
      <c r="M1495" s="792">
        <f t="shared" si="134"/>
        <v>0</v>
      </c>
      <c r="N1495" s="812">
        <v>0</v>
      </c>
      <c r="O1495" s="792">
        <f t="shared" si="135"/>
        <v>0</v>
      </c>
      <c r="P1495" s="792">
        <f t="shared" si="136"/>
        <v>0</v>
      </c>
    </row>
    <row r="1496" spans="2:16">
      <c r="C1496" s="788" t="str">
        <f>IF(D1487="","-",+C1495+1)</f>
        <v>-</v>
      </c>
      <c r="D1496" s="1321">
        <f t="shared" si="137"/>
        <v>0</v>
      </c>
      <c r="E1496" s="789">
        <f t="shared" si="139"/>
        <v>0</v>
      </c>
      <c r="F1496" s="789">
        <f t="shared" si="133"/>
        <v>0</v>
      </c>
      <c r="G1496" s="736">
        <f t="shared" si="138"/>
        <v>0</v>
      </c>
      <c r="H1496" s="794">
        <f>+J1488*G1496+E1496</f>
        <v>0</v>
      </c>
      <c r="I1496" s="795">
        <f>+J1489*G1496+E1496</f>
        <v>0</v>
      </c>
      <c r="J1496" s="792">
        <f t="shared" si="140"/>
        <v>0</v>
      </c>
      <c r="K1496" s="792"/>
      <c r="L1496" s="812">
        <v>0</v>
      </c>
      <c r="M1496" s="792">
        <f t="shared" si="134"/>
        <v>0</v>
      </c>
      <c r="N1496" s="812">
        <v>0</v>
      </c>
      <c r="O1496" s="792">
        <f t="shared" si="135"/>
        <v>0</v>
      </c>
      <c r="P1496" s="792">
        <f t="shared" si="136"/>
        <v>0</v>
      </c>
    </row>
    <row r="1497" spans="2:16">
      <c r="C1497" s="788" t="str">
        <f>IF(D1487="","-",+C1496+1)</f>
        <v>-</v>
      </c>
      <c r="D1497" s="1321">
        <f t="shared" si="137"/>
        <v>0</v>
      </c>
      <c r="E1497" s="789">
        <f t="shared" si="139"/>
        <v>0</v>
      </c>
      <c r="F1497" s="789">
        <f t="shared" si="133"/>
        <v>0</v>
      </c>
      <c r="G1497" s="736">
        <f t="shared" si="138"/>
        <v>0</v>
      </c>
      <c r="H1497" s="794">
        <f>+J1488*G1497+E1497</f>
        <v>0</v>
      </c>
      <c r="I1497" s="795">
        <f>+J1489*G1497+E1497</f>
        <v>0</v>
      </c>
      <c r="J1497" s="792">
        <f t="shared" si="140"/>
        <v>0</v>
      </c>
      <c r="K1497" s="792"/>
      <c r="L1497" s="812">
        <v>0</v>
      </c>
      <c r="M1497" s="792">
        <f t="shared" si="134"/>
        <v>0</v>
      </c>
      <c r="N1497" s="812">
        <v>0</v>
      </c>
      <c r="O1497" s="792">
        <f t="shared" si="135"/>
        <v>0</v>
      </c>
      <c r="P1497" s="792">
        <f t="shared" si="136"/>
        <v>0</v>
      </c>
    </row>
    <row r="1498" spans="2:16">
      <c r="C1498" s="788" t="str">
        <f>IF(D1487="","-",+C1497+1)</f>
        <v>-</v>
      </c>
      <c r="D1498" s="1321">
        <f t="shared" si="137"/>
        <v>0</v>
      </c>
      <c r="E1498" s="789">
        <f t="shared" si="139"/>
        <v>0</v>
      </c>
      <c r="F1498" s="789">
        <f t="shared" si="133"/>
        <v>0</v>
      </c>
      <c r="G1498" s="736">
        <f t="shared" si="138"/>
        <v>0</v>
      </c>
      <c r="H1498" s="794">
        <f>+J1488*G1498+E1498</f>
        <v>0</v>
      </c>
      <c r="I1498" s="795">
        <f>+J1489*G1498+E1498</f>
        <v>0</v>
      </c>
      <c r="J1498" s="792">
        <f t="shared" si="140"/>
        <v>0</v>
      </c>
      <c r="K1498" s="792"/>
      <c r="L1498" s="812">
        <v>0</v>
      </c>
      <c r="M1498" s="792">
        <f t="shared" si="134"/>
        <v>0</v>
      </c>
      <c r="N1498" s="812">
        <v>0</v>
      </c>
      <c r="O1498" s="792">
        <f t="shared" si="135"/>
        <v>0</v>
      </c>
      <c r="P1498" s="792">
        <f t="shared" si="136"/>
        <v>0</v>
      </c>
    </row>
    <row r="1499" spans="2:16">
      <c r="C1499" s="788" t="str">
        <f>IF(D1487="","-",+C1498+1)</f>
        <v>-</v>
      </c>
      <c r="D1499" s="1321">
        <f t="shared" si="137"/>
        <v>0</v>
      </c>
      <c r="E1499" s="789">
        <f t="shared" si="139"/>
        <v>0</v>
      </c>
      <c r="F1499" s="789">
        <f t="shared" si="133"/>
        <v>0</v>
      </c>
      <c r="G1499" s="736">
        <f t="shared" si="138"/>
        <v>0</v>
      </c>
      <c r="H1499" s="794">
        <f>+J1488*G1499+E1499</f>
        <v>0</v>
      </c>
      <c r="I1499" s="795">
        <f>+J1489*G1499+E1499</f>
        <v>0</v>
      </c>
      <c r="J1499" s="792">
        <f t="shared" si="140"/>
        <v>0</v>
      </c>
      <c r="K1499" s="792"/>
      <c r="L1499" s="812">
        <v>0</v>
      </c>
      <c r="M1499" s="792">
        <f t="shared" si="134"/>
        <v>0</v>
      </c>
      <c r="N1499" s="812">
        <v>0</v>
      </c>
      <c r="O1499" s="792">
        <f t="shared" si="135"/>
        <v>0</v>
      </c>
      <c r="P1499" s="792">
        <f t="shared" si="136"/>
        <v>0</v>
      </c>
    </row>
    <row r="1500" spans="2:16">
      <c r="C1500" s="788" t="str">
        <f>IF(D1487="","-",+C1499+1)</f>
        <v>-</v>
      </c>
      <c r="D1500" s="1321">
        <f t="shared" si="137"/>
        <v>0</v>
      </c>
      <c r="E1500" s="789">
        <f t="shared" si="139"/>
        <v>0</v>
      </c>
      <c r="F1500" s="789">
        <f t="shared" si="133"/>
        <v>0</v>
      </c>
      <c r="G1500" s="736">
        <f t="shared" si="138"/>
        <v>0</v>
      </c>
      <c r="H1500" s="794">
        <f>+J1488*G1500+E1500</f>
        <v>0</v>
      </c>
      <c r="I1500" s="795">
        <f>+J1489*G1500+E1500</f>
        <v>0</v>
      </c>
      <c r="J1500" s="792">
        <f t="shared" si="140"/>
        <v>0</v>
      </c>
      <c r="K1500" s="792"/>
      <c r="L1500" s="812">
        <v>0</v>
      </c>
      <c r="M1500" s="792">
        <f t="shared" si="134"/>
        <v>0</v>
      </c>
      <c r="N1500" s="812">
        <v>0</v>
      </c>
      <c r="O1500" s="792">
        <f t="shared" si="135"/>
        <v>0</v>
      </c>
      <c r="P1500" s="792">
        <f t="shared" si="136"/>
        <v>0</v>
      </c>
    </row>
    <row r="1501" spans="2:16">
      <c r="C1501" s="788" t="str">
        <f>IF(D1487="","-",+C1500+1)</f>
        <v>-</v>
      </c>
      <c r="D1501" s="736">
        <f t="shared" si="137"/>
        <v>0</v>
      </c>
      <c r="E1501" s="789">
        <f t="shared" si="139"/>
        <v>0</v>
      </c>
      <c r="F1501" s="789">
        <f t="shared" si="133"/>
        <v>0</v>
      </c>
      <c r="G1501" s="736">
        <f t="shared" si="138"/>
        <v>0</v>
      </c>
      <c r="H1501" s="794">
        <f>+J1488*G1501+E1501</f>
        <v>0</v>
      </c>
      <c r="I1501" s="795">
        <f>+J1489*G1501+E1501</f>
        <v>0</v>
      </c>
      <c r="J1501" s="792">
        <f t="shared" si="140"/>
        <v>0</v>
      </c>
      <c r="K1501" s="792"/>
      <c r="L1501" s="812"/>
      <c r="M1501" s="792">
        <f t="shared" si="134"/>
        <v>0</v>
      </c>
      <c r="N1501" s="812"/>
      <c r="O1501" s="792">
        <f t="shared" si="135"/>
        <v>0</v>
      </c>
      <c r="P1501" s="792">
        <f t="shared" si="136"/>
        <v>0</v>
      </c>
    </row>
    <row r="1502" spans="2:16">
      <c r="C1502" s="788" t="str">
        <f>IF(D1487="","-",+C1501+1)</f>
        <v>-</v>
      </c>
      <c r="D1502" s="736">
        <f t="shared" si="137"/>
        <v>0</v>
      </c>
      <c r="E1502" s="789">
        <f t="shared" si="139"/>
        <v>0</v>
      </c>
      <c r="F1502" s="789">
        <f t="shared" si="133"/>
        <v>0</v>
      </c>
      <c r="G1502" s="736">
        <f t="shared" si="138"/>
        <v>0</v>
      </c>
      <c r="H1502" s="794">
        <f>+J1488*G1502+E1502</f>
        <v>0</v>
      </c>
      <c r="I1502" s="795">
        <f>+J1489*G1502+E1502</f>
        <v>0</v>
      </c>
      <c r="J1502" s="792">
        <f t="shared" si="140"/>
        <v>0</v>
      </c>
      <c r="K1502" s="792"/>
      <c r="L1502" s="812"/>
      <c r="M1502" s="792">
        <f t="shared" si="134"/>
        <v>0</v>
      </c>
      <c r="N1502" s="812"/>
      <c r="O1502" s="792">
        <f t="shared" si="135"/>
        <v>0</v>
      </c>
      <c r="P1502" s="792">
        <f t="shared" si="136"/>
        <v>0</v>
      </c>
    </row>
    <row r="1503" spans="2:16">
      <c r="C1503" s="788" t="str">
        <f>IF(D1487="","-",+C1502+1)</f>
        <v>-</v>
      </c>
      <c r="D1503" s="736">
        <f t="shared" si="137"/>
        <v>0</v>
      </c>
      <c r="E1503" s="789">
        <f t="shared" si="139"/>
        <v>0</v>
      </c>
      <c r="F1503" s="789">
        <f t="shared" si="133"/>
        <v>0</v>
      </c>
      <c r="G1503" s="736">
        <f t="shared" si="138"/>
        <v>0</v>
      </c>
      <c r="H1503" s="794">
        <f>+J1488*G1503+E1503</f>
        <v>0</v>
      </c>
      <c r="I1503" s="795">
        <f>+J1489*G1503+E1503</f>
        <v>0</v>
      </c>
      <c r="J1503" s="792">
        <f t="shared" si="140"/>
        <v>0</v>
      </c>
      <c r="K1503" s="792"/>
      <c r="L1503" s="812"/>
      <c r="M1503" s="792">
        <f t="shared" si="134"/>
        <v>0</v>
      </c>
      <c r="N1503" s="812"/>
      <c r="O1503" s="792">
        <f t="shared" si="135"/>
        <v>0</v>
      </c>
      <c r="P1503" s="792">
        <f t="shared" si="136"/>
        <v>0</v>
      </c>
    </row>
    <row r="1504" spans="2:16">
      <c r="C1504" s="788" t="str">
        <f>IF(D1487="","-",+C1503+1)</f>
        <v>-</v>
      </c>
      <c r="D1504" s="736">
        <f t="shared" si="137"/>
        <v>0</v>
      </c>
      <c r="E1504" s="789">
        <f t="shared" si="139"/>
        <v>0</v>
      </c>
      <c r="F1504" s="789">
        <f t="shared" si="133"/>
        <v>0</v>
      </c>
      <c r="G1504" s="736">
        <f t="shared" si="138"/>
        <v>0</v>
      </c>
      <c r="H1504" s="794">
        <f>+J1488*G1504+E1504</f>
        <v>0</v>
      </c>
      <c r="I1504" s="795">
        <f>+J1489*G1504+E1504</f>
        <v>0</v>
      </c>
      <c r="J1504" s="792">
        <f t="shared" si="140"/>
        <v>0</v>
      </c>
      <c r="K1504" s="792"/>
      <c r="L1504" s="812"/>
      <c r="M1504" s="792">
        <f t="shared" si="134"/>
        <v>0</v>
      </c>
      <c r="N1504" s="812"/>
      <c r="O1504" s="792">
        <f t="shared" si="135"/>
        <v>0</v>
      </c>
      <c r="P1504" s="792">
        <f t="shared" si="136"/>
        <v>0</v>
      </c>
    </row>
    <row r="1505" spans="3:16">
      <c r="C1505" s="788" t="str">
        <f>IF(D1487="","-",+C1504+1)</f>
        <v>-</v>
      </c>
      <c r="D1505" s="736">
        <f t="shared" si="137"/>
        <v>0</v>
      </c>
      <c r="E1505" s="789">
        <f t="shared" si="139"/>
        <v>0</v>
      </c>
      <c r="F1505" s="789">
        <f t="shared" si="133"/>
        <v>0</v>
      </c>
      <c r="G1505" s="736">
        <f t="shared" si="138"/>
        <v>0</v>
      </c>
      <c r="H1505" s="794">
        <f>+J1488*G1505+E1505</f>
        <v>0</v>
      </c>
      <c r="I1505" s="795">
        <f>+J1489*G1505+E1505</f>
        <v>0</v>
      </c>
      <c r="J1505" s="792">
        <f t="shared" si="140"/>
        <v>0</v>
      </c>
      <c r="K1505" s="792"/>
      <c r="L1505" s="812"/>
      <c r="M1505" s="792">
        <f t="shared" si="134"/>
        <v>0</v>
      </c>
      <c r="N1505" s="812"/>
      <c r="O1505" s="792">
        <f t="shared" si="135"/>
        <v>0</v>
      </c>
      <c r="P1505" s="792">
        <f t="shared" si="136"/>
        <v>0</v>
      </c>
    </row>
    <row r="1506" spans="3:16">
      <c r="C1506" s="788" t="str">
        <f>IF(D1487="","-",+C1505+1)</f>
        <v>-</v>
      </c>
      <c r="D1506" s="736">
        <f t="shared" si="137"/>
        <v>0</v>
      </c>
      <c r="E1506" s="789">
        <f t="shared" si="139"/>
        <v>0</v>
      </c>
      <c r="F1506" s="789">
        <f t="shared" si="133"/>
        <v>0</v>
      </c>
      <c r="G1506" s="736">
        <f t="shared" si="138"/>
        <v>0</v>
      </c>
      <c r="H1506" s="794">
        <f>+J1488*G1506+E1506</f>
        <v>0</v>
      </c>
      <c r="I1506" s="795">
        <f>+J1489*G1506+E1506</f>
        <v>0</v>
      </c>
      <c r="J1506" s="792">
        <f t="shared" si="140"/>
        <v>0</v>
      </c>
      <c r="K1506" s="792"/>
      <c r="L1506" s="812"/>
      <c r="M1506" s="792">
        <f t="shared" si="134"/>
        <v>0</v>
      </c>
      <c r="N1506" s="812"/>
      <c r="O1506" s="792">
        <f t="shared" si="135"/>
        <v>0</v>
      </c>
      <c r="P1506" s="792">
        <f t="shared" si="136"/>
        <v>0</v>
      </c>
    </row>
    <row r="1507" spans="3:16">
      <c r="C1507" s="788" t="str">
        <f>IF(D1487="","-",+C1506+1)</f>
        <v>-</v>
      </c>
      <c r="D1507" s="736">
        <f t="shared" si="137"/>
        <v>0</v>
      </c>
      <c r="E1507" s="789">
        <f t="shared" si="139"/>
        <v>0</v>
      </c>
      <c r="F1507" s="789">
        <f t="shared" si="133"/>
        <v>0</v>
      </c>
      <c r="G1507" s="736">
        <f t="shared" si="138"/>
        <v>0</v>
      </c>
      <c r="H1507" s="794">
        <f>+J1488*G1507+E1507</f>
        <v>0</v>
      </c>
      <c r="I1507" s="795">
        <f>+J1489*G1507+E1507</f>
        <v>0</v>
      </c>
      <c r="J1507" s="792">
        <f t="shared" si="140"/>
        <v>0</v>
      </c>
      <c r="K1507" s="792"/>
      <c r="L1507" s="812"/>
      <c r="M1507" s="792">
        <f t="shared" si="134"/>
        <v>0</v>
      </c>
      <c r="N1507" s="812"/>
      <c r="O1507" s="792">
        <f t="shared" si="135"/>
        <v>0</v>
      </c>
      <c r="P1507" s="792">
        <f t="shared" si="136"/>
        <v>0</v>
      </c>
    </row>
    <row r="1508" spans="3:16">
      <c r="C1508" s="788" t="str">
        <f>IF(D1487="","-",+C1507+1)</f>
        <v>-</v>
      </c>
      <c r="D1508" s="736">
        <f t="shared" si="137"/>
        <v>0</v>
      </c>
      <c r="E1508" s="789">
        <f t="shared" si="139"/>
        <v>0</v>
      </c>
      <c r="F1508" s="789">
        <f t="shared" si="133"/>
        <v>0</v>
      </c>
      <c r="G1508" s="736">
        <f t="shared" si="138"/>
        <v>0</v>
      </c>
      <c r="H1508" s="794">
        <f>+J1488*G1508+E1508</f>
        <v>0</v>
      </c>
      <c r="I1508" s="795">
        <f>+J1489*G1508+E1508</f>
        <v>0</v>
      </c>
      <c r="J1508" s="792">
        <f t="shared" si="140"/>
        <v>0</v>
      </c>
      <c r="K1508" s="792"/>
      <c r="L1508" s="812"/>
      <c r="M1508" s="792">
        <f t="shared" si="134"/>
        <v>0</v>
      </c>
      <c r="N1508" s="812"/>
      <c r="O1508" s="792">
        <f t="shared" si="135"/>
        <v>0</v>
      </c>
      <c r="P1508" s="792">
        <f t="shared" si="136"/>
        <v>0</v>
      </c>
    </row>
    <row r="1509" spans="3:16">
      <c r="C1509" s="788" t="str">
        <f>IF(D1487="","-",+C1508+1)</f>
        <v>-</v>
      </c>
      <c r="D1509" s="736">
        <f t="shared" si="137"/>
        <v>0</v>
      </c>
      <c r="E1509" s="789">
        <f t="shared" si="139"/>
        <v>0</v>
      </c>
      <c r="F1509" s="789">
        <f t="shared" si="133"/>
        <v>0</v>
      </c>
      <c r="G1509" s="736">
        <f t="shared" si="138"/>
        <v>0</v>
      </c>
      <c r="H1509" s="794">
        <f>+J1488*G1509+E1509</f>
        <v>0</v>
      </c>
      <c r="I1509" s="795">
        <f>+J1489*G1509+E1509</f>
        <v>0</v>
      </c>
      <c r="J1509" s="792">
        <f t="shared" si="140"/>
        <v>0</v>
      </c>
      <c r="K1509" s="792"/>
      <c r="L1509" s="812"/>
      <c r="M1509" s="792">
        <f t="shared" si="134"/>
        <v>0</v>
      </c>
      <c r="N1509" s="812"/>
      <c r="O1509" s="792">
        <f t="shared" si="135"/>
        <v>0</v>
      </c>
      <c r="P1509" s="792">
        <f t="shared" si="136"/>
        <v>0</v>
      </c>
    </row>
    <row r="1510" spans="3:16">
      <c r="C1510" s="788" t="str">
        <f>IF(D1487="","-",+C1509+1)</f>
        <v>-</v>
      </c>
      <c r="D1510" s="736">
        <f t="shared" si="137"/>
        <v>0</v>
      </c>
      <c r="E1510" s="789">
        <f t="shared" si="139"/>
        <v>0</v>
      </c>
      <c r="F1510" s="789">
        <f t="shared" si="133"/>
        <v>0</v>
      </c>
      <c r="G1510" s="736">
        <f t="shared" si="138"/>
        <v>0</v>
      </c>
      <c r="H1510" s="794">
        <f>+J1488*G1510+E1510</f>
        <v>0</v>
      </c>
      <c r="I1510" s="795">
        <f>+J1489*G1510+E1510</f>
        <v>0</v>
      </c>
      <c r="J1510" s="792">
        <f t="shared" si="140"/>
        <v>0</v>
      </c>
      <c r="K1510" s="792"/>
      <c r="L1510" s="812"/>
      <c r="M1510" s="792">
        <f t="shared" si="134"/>
        <v>0</v>
      </c>
      <c r="N1510" s="812"/>
      <c r="O1510" s="792">
        <f t="shared" si="135"/>
        <v>0</v>
      </c>
      <c r="P1510" s="792">
        <f t="shared" si="136"/>
        <v>0</v>
      </c>
    </row>
    <row r="1511" spans="3:16">
      <c r="C1511" s="788" t="str">
        <f>IF(D1487="","-",+C1510+1)</f>
        <v>-</v>
      </c>
      <c r="D1511" s="736">
        <f t="shared" si="137"/>
        <v>0</v>
      </c>
      <c r="E1511" s="789">
        <f t="shared" si="139"/>
        <v>0</v>
      </c>
      <c r="F1511" s="789">
        <f t="shared" si="133"/>
        <v>0</v>
      </c>
      <c r="G1511" s="736">
        <f t="shared" si="138"/>
        <v>0</v>
      </c>
      <c r="H1511" s="794">
        <f>+J1488*G1511+E1511</f>
        <v>0</v>
      </c>
      <c r="I1511" s="795">
        <f>+J1489*G1511+E1511</f>
        <v>0</v>
      </c>
      <c r="J1511" s="792">
        <f t="shared" si="140"/>
        <v>0</v>
      </c>
      <c r="K1511" s="792"/>
      <c r="L1511" s="812"/>
      <c r="M1511" s="792">
        <f t="shared" si="134"/>
        <v>0</v>
      </c>
      <c r="N1511" s="812"/>
      <c r="O1511" s="792">
        <f t="shared" si="135"/>
        <v>0</v>
      </c>
      <c r="P1511" s="792">
        <f t="shared" si="136"/>
        <v>0</v>
      </c>
    </row>
    <row r="1512" spans="3:16">
      <c r="C1512" s="788" t="str">
        <f>IF(D1487="","-",+C1511+1)</f>
        <v>-</v>
      </c>
      <c r="D1512" s="736">
        <f t="shared" si="137"/>
        <v>0</v>
      </c>
      <c r="E1512" s="789">
        <f t="shared" si="139"/>
        <v>0</v>
      </c>
      <c r="F1512" s="789">
        <f t="shared" si="133"/>
        <v>0</v>
      </c>
      <c r="G1512" s="736">
        <f t="shared" si="138"/>
        <v>0</v>
      </c>
      <c r="H1512" s="794">
        <f>+J1488*G1512+E1512</f>
        <v>0</v>
      </c>
      <c r="I1512" s="795">
        <f>+J1489*G1512+E1512</f>
        <v>0</v>
      </c>
      <c r="J1512" s="792">
        <f t="shared" si="140"/>
        <v>0</v>
      </c>
      <c r="K1512" s="792"/>
      <c r="L1512" s="812"/>
      <c r="M1512" s="792">
        <f t="shared" si="134"/>
        <v>0</v>
      </c>
      <c r="N1512" s="812"/>
      <c r="O1512" s="792">
        <f t="shared" si="135"/>
        <v>0</v>
      </c>
      <c r="P1512" s="792">
        <f t="shared" si="136"/>
        <v>0</v>
      </c>
    </row>
    <row r="1513" spans="3:16">
      <c r="C1513" s="788" t="str">
        <f>IF(D1487="","-",+C1512+1)</f>
        <v>-</v>
      </c>
      <c r="D1513" s="736">
        <f t="shared" si="137"/>
        <v>0</v>
      </c>
      <c r="E1513" s="789">
        <f t="shared" si="139"/>
        <v>0</v>
      </c>
      <c r="F1513" s="789">
        <f t="shared" si="133"/>
        <v>0</v>
      </c>
      <c r="G1513" s="736">
        <f t="shared" si="138"/>
        <v>0</v>
      </c>
      <c r="H1513" s="794">
        <f>+J1488*G1513+E1513</f>
        <v>0</v>
      </c>
      <c r="I1513" s="795">
        <f>+J1489*G1513+E1513</f>
        <v>0</v>
      </c>
      <c r="J1513" s="792">
        <f t="shared" si="140"/>
        <v>0</v>
      </c>
      <c r="K1513" s="792"/>
      <c r="L1513" s="812"/>
      <c r="M1513" s="792">
        <f t="shared" si="134"/>
        <v>0</v>
      </c>
      <c r="N1513" s="812"/>
      <c r="O1513" s="792">
        <f t="shared" si="135"/>
        <v>0</v>
      </c>
      <c r="P1513" s="792">
        <f t="shared" si="136"/>
        <v>0</v>
      </c>
    </row>
    <row r="1514" spans="3:16">
      <c r="C1514" s="788" t="str">
        <f>IF(D1487="","-",+C1513+1)</f>
        <v>-</v>
      </c>
      <c r="D1514" s="736">
        <f t="shared" si="137"/>
        <v>0</v>
      </c>
      <c r="E1514" s="789">
        <f t="shared" si="139"/>
        <v>0</v>
      </c>
      <c r="F1514" s="789">
        <f t="shared" si="133"/>
        <v>0</v>
      </c>
      <c r="G1514" s="736">
        <f t="shared" si="138"/>
        <v>0</v>
      </c>
      <c r="H1514" s="794">
        <f>+J1488*G1514+E1514</f>
        <v>0</v>
      </c>
      <c r="I1514" s="795">
        <f>+J1489*G1514+E1514</f>
        <v>0</v>
      </c>
      <c r="J1514" s="792">
        <f t="shared" si="140"/>
        <v>0</v>
      </c>
      <c r="K1514" s="792"/>
      <c r="L1514" s="812"/>
      <c r="M1514" s="792">
        <f t="shared" si="134"/>
        <v>0</v>
      </c>
      <c r="N1514" s="812"/>
      <c r="O1514" s="792">
        <f t="shared" si="135"/>
        <v>0</v>
      </c>
      <c r="P1514" s="792">
        <f t="shared" si="136"/>
        <v>0</v>
      </c>
    </row>
    <row r="1515" spans="3:16">
      <c r="C1515" s="788" t="str">
        <f>IF(D1487="","-",+C1514+1)</f>
        <v>-</v>
      </c>
      <c r="D1515" s="736">
        <f t="shared" si="137"/>
        <v>0</v>
      </c>
      <c r="E1515" s="789">
        <f t="shared" si="139"/>
        <v>0</v>
      </c>
      <c r="F1515" s="789">
        <f t="shared" si="133"/>
        <v>0</v>
      </c>
      <c r="G1515" s="736">
        <f t="shared" si="138"/>
        <v>0</v>
      </c>
      <c r="H1515" s="794">
        <f>+J1488*G1515+E1515</f>
        <v>0</v>
      </c>
      <c r="I1515" s="795">
        <f>+J1489*G1515+E1515</f>
        <v>0</v>
      </c>
      <c r="J1515" s="792">
        <f t="shared" si="140"/>
        <v>0</v>
      </c>
      <c r="K1515" s="792"/>
      <c r="L1515" s="812"/>
      <c r="M1515" s="792">
        <f t="shared" si="134"/>
        <v>0</v>
      </c>
      <c r="N1515" s="812"/>
      <c r="O1515" s="792">
        <f t="shared" si="135"/>
        <v>0</v>
      </c>
      <c r="P1515" s="792">
        <f t="shared" si="136"/>
        <v>0</v>
      </c>
    </row>
    <row r="1516" spans="3:16">
      <c r="C1516" s="788" t="str">
        <f>IF(D1487="","-",+C1515+1)</f>
        <v>-</v>
      </c>
      <c r="D1516" s="736">
        <f t="shared" si="137"/>
        <v>0</v>
      </c>
      <c r="E1516" s="789">
        <f t="shared" si="139"/>
        <v>0</v>
      </c>
      <c r="F1516" s="789">
        <f t="shared" si="133"/>
        <v>0</v>
      </c>
      <c r="G1516" s="736">
        <f t="shared" si="138"/>
        <v>0</v>
      </c>
      <c r="H1516" s="794">
        <f>+J1488*G1516+E1516</f>
        <v>0</v>
      </c>
      <c r="I1516" s="795">
        <f>+J1489*G1516+E1516</f>
        <v>0</v>
      </c>
      <c r="J1516" s="792">
        <f t="shared" si="140"/>
        <v>0</v>
      </c>
      <c r="K1516" s="792"/>
      <c r="L1516" s="812"/>
      <c r="M1516" s="792">
        <f t="shared" si="134"/>
        <v>0</v>
      </c>
      <c r="N1516" s="812"/>
      <c r="O1516" s="792">
        <f t="shared" si="135"/>
        <v>0</v>
      </c>
      <c r="P1516" s="792">
        <f t="shared" si="136"/>
        <v>0</v>
      </c>
    </row>
    <row r="1517" spans="3:16">
      <c r="C1517" s="788" t="str">
        <f>IF(D1487="","-",+C1516+1)</f>
        <v>-</v>
      </c>
      <c r="D1517" s="736">
        <f t="shared" si="137"/>
        <v>0</v>
      </c>
      <c r="E1517" s="789">
        <f t="shared" si="139"/>
        <v>0</v>
      </c>
      <c r="F1517" s="789">
        <f t="shared" si="133"/>
        <v>0</v>
      </c>
      <c r="G1517" s="736">
        <f t="shared" si="138"/>
        <v>0</v>
      </c>
      <c r="H1517" s="794">
        <f>+J1488*G1517+E1517</f>
        <v>0</v>
      </c>
      <c r="I1517" s="795">
        <f>+J1489*G1517+E1517</f>
        <v>0</v>
      </c>
      <c r="J1517" s="792">
        <f t="shared" si="140"/>
        <v>0</v>
      </c>
      <c r="K1517" s="792"/>
      <c r="L1517" s="812"/>
      <c r="M1517" s="792">
        <f t="shared" si="134"/>
        <v>0</v>
      </c>
      <c r="N1517" s="812"/>
      <c r="O1517" s="792">
        <f t="shared" si="135"/>
        <v>0</v>
      </c>
      <c r="P1517" s="792">
        <f t="shared" si="136"/>
        <v>0</v>
      </c>
    </row>
    <row r="1518" spans="3:16">
      <c r="C1518" s="788" t="str">
        <f>IF(D1487="","-",+C1517+1)</f>
        <v>-</v>
      </c>
      <c r="D1518" s="736">
        <f t="shared" si="137"/>
        <v>0</v>
      </c>
      <c r="E1518" s="789">
        <f t="shared" si="139"/>
        <v>0</v>
      </c>
      <c r="F1518" s="789">
        <f t="shared" si="133"/>
        <v>0</v>
      </c>
      <c r="G1518" s="736">
        <f t="shared" si="138"/>
        <v>0</v>
      </c>
      <c r="H1518" s="794">
        <f>+J1488*G1518+E1518</f>
        <v>0</v>
      </c>
      <c r="I1518" s="795">
        <f>+J1489*G1518+E1518</f>
        <v>0</v>
      </c>
      <c r="J1518" s="792">
        <f t="shared" si="140"/>
        <v>0</v>
      </c>
      <c r="K1518" s="792"/>
      <c r="L1518" s="812"/>
      <c r="M1518" s="792">
        <f t="shared" si="134"/>
        <v>0</v>
      </c>
      <c r="N1518" s="812"/>
      <c r="O1518" s="792">
        <f t="shared" si="135"/>
        <v>0</v>
      </c>
      <c r="P1518" s="792">
        <f t="shared" si="136"/>
        <v>0</v>
      </c>
    </row>
    <row r="1519" spans="3:16">
      <c r="C1519" s="788" t="str">
        <f>IF(D1487="","-",+C1518+1)</f>
        <v>-</v>
      </c>
      <c r="D1519" s="736">
        <f t="shared" si="137"/>
        <v>0</v>
      </c>
      <c r="E1519" s="789">
        <f t="shared" si="139"/>
        <v>0</v>
      </c>
      <c r="F1519" s="789">
        <f t="shared" si="133"/>
        <v>0</v>
      </c>
      <c r="G1519" s="736">
        <f t="shared" si="138"/>
        <v>0</v>
      </c>
      <c r="H1519" s="794">
        <f>+J1488*G1519+E1519</f>
        <v>0</v>
      </c>
      <c r="I1519" s="795">
        <f>+J1489*G1519+E1519</f>
        <v>0</v>
      </c>
      <c r="J1519" s="792">
        <f t="shared" si="140"/>
        <v>0</v>
      </c>
      <c r="K1519" s="792"/>
      <c r="L1519" s="812"/>
      <c r="M1519" s="792">
        <f t="shared" si="134"/>
        <v>0</v>
      </c>
      <c r="N1519" s="812"/>
      <c r="O1519" s="792">
        <f t="shared" si="135"/>
        <v>0</v>
      </c>
      <c r="P1519" s="792">
        <f t="shared" si="136"/>
        <v>0</v>
      </c>
    </row>
    <row r="1520" spans="3:16">
      <c r="C1520" s="788" t="str">
        <f>IF(D1487="","-",+C1519+1)</f>
        <v>-</v>
      </c>
      <c r="D1520" s="736">
        <f t="shared" si="137"/>
        <v>0</v>
      </c>
      <c r="E1520" s="789">
        <f t="shared" si="139"/>
        <v>0</v>
      </c>
      <c r="F1520" s="789">
        <f t="shared" si="133"/>
        <v>0</v>
      </c>
      <c r="G1520" s="736">
        <f t="shared" si="138"/>
        <v>0</v>
      </c>
      <c r="H1520" s="794">
        <f>+J1488*G1520+E1520</f>
        <v>0</v>
      </c>
      <c r="I1520" s="795">
        <f>+J1489*G1520+E1520</f>
        <v>0</v>
      </c>
      <c r="J1520" s="792">
        <f t="shared" si="140"/>
        <v>0</v>
      </c>
      <c r="K1520" s="792"/>
      <c r="L1520" s="812"/>
      <c r="M1520" s="792">
        <f t="shared" si="134"/>
        <v>0</v>
      </c>
      <c r="N1520" s="812"/>
      <c r="O1520" s="792">
        <f t="shared" si="135"/>
        <v>0</v>
      </c>
      <c r="P1520" s="792">
        <f t="shared" si="136"/>
        <v>0</v>
      </c>
    </row>
    <row r="1521" spans="3:16">
      <c r="C1521" s="788" t="str">
        <f>IF(D1487="","-",+C1520+1)</f>
        <v>-</v>
      </c>
      <c r="D1521" s="736">
        <f t="shared" si="137"/>
        <v>0</v>
      </c>
      <c r="E1521" s="789">
        <f t="shared" si="139"/>
        <v>0</v>
      </c>
      <c r="F1521" s="789">
        <f t="shared" si="133"/>
        <v>0</v>
      </c>
      <c r="G1521" s="736">
        <f t="shared" si="138"/>
        <v>0</v>
      </c>
      <c r="H1521" s="794">
        <f>+J1488*G1521+E1521</f>
        <v>0</v>
      </c>
      <c r="I1521" s="795">
        <f>+J1489*G1521+E1521</f>
        <v>0</v>
      </c>
      <c r="J1521" s="792">
        <f t="shared" si="140"/>
        <v>0</v>
      </c>
      <c r="K1521" s="792"/>
      <c r="L1521" s="812"/>
      <c r="M1521" s="792">
        <f t="shared" si="134"/>
        <v>0</v>
      </c>
      <c r="N1521" s="812"/>
      <c r="O1521" s="792">
        <f t="shared" si="135"/>
        <v>0</v>
      </c>
      <c r="P1521" s="792">
        <f t="shared" si="136"/>
        <v>0</v>
      </c>
    </row>
    <row r="1522" spans="3:16">
      <c r="C1522" s="788" t="str">
        <f>IF(D1487="","-",+C1521+1)</f>
        <v>-</v>
      </c>
      <c r="D1522" s="736">
        <f t="shared" si="137"/>
        <v>0</v>
      </c>
      <c r="E1522" s="789">
        <f t="shared" si="139"/>
        <v>0</v>
      </c>
      <c r="F1522" s="789">
        <f t="shared" si="133"/>
        <v>0</v>
      </c>
      <c r="G1522" s="736">
        <f t="shared" si="138"/>
        <v>0</v>
      </c>
      <c r="H1522" s="794">
        <f>+J1488*G1522+E1522</f>
        <v>0</v>
      </c>
      <c r="I1522" s="795">
        <f>+J1489*G1522+E1522</f>
        <v>0</v>
      </c>
      <c r="J1522" s="792">
        <f t="shared" si="140"/>
        <v>0</v>
      </c>
      <c r="K1522" s="792"/>
      <c r="L1522" s="812"/>
      <c r="M1522" s="792">
        <f t="shared" si="134"/>
        <v>0</v>
      </c>
      <c r="N1522" s="812"/>
      <c r="O1522" s="792">
        <f t="shared" si="135"/>
        <v>0</v>
      </c>
      <c r="P1522" s="792">
        <f t="shared" si="136"/>
        <v>0</v>
      </c>
    </row>
    <row r="1523" spans="3:16">
      <c r="C1523" s="788" t="str">
        <f>IF(D1487="","-",+C1522+1)</f>
        <v>-</v>
      </c>
      <c r="D1523" s="736">
        <f t="shared" si="137"/>
        <v>0</v>
      </c>
      <c r="E1523" s="789">
        <f t="shared" si="139"/>
        <v>0</v>
      </c>
      <c r="F1523" s="789">
        <f t="shared" si="133"/>
        <v>0</v>
      </c>
      <c r="G1523" s="736">
        <f t="shared" si="138"/>
        <v>0</v>
      </c>
      <c r="H1523" s="794">
        <f>+J1488*G1523+E1523</f>
        <v>0</v>
      </c>
      <c r="I1523" s="795">
        <f>+J1489*G1523+E1523</f>
        <v>0</v>
      </c>
      <c r="J1523" s="792">
        <f t="shared" si="140"/>
        <v>0</v>
      </c>
      <c r="K1523" s="792"/>
      <c r="L1523" s="812"/>
      <c r="M1523" s="792">
        <f t="shared" si="134"/>
        <v>0</v>
      </c>
      <c r="N1523" s="812"/>
      <c r="O1523" s="792">
        <f t="shared" si="135"/>
        <v>0</v>
      </c>
      <c r="P1523" s="792">
        <f t="shared" si="136"/>
        <v>0</v>
      </c>
    </row>
    <row r="1524" spans="3:16">
      <c r="C1524" s="788" t="str">
        <f>IF(D1487="","-",+C1523+1)</f>
        <v>-</v>
      </c>
      <c r="D1524" s="736">
        <f t="shared" si="137"/>
        <v>0</v>
      </c>
      <c r="E1524" s="789">
        <f t="shared" si="139"/>
        <v>0</v>
      </c>
      <c r="F1524" s="789">
        <f t="shared" si="133"/>
        <v>0</v>
      </c>
      <c r="G1524" s="736">
        <f t="shared" si="138"/>
        <v>0</v>
      </c>
      <c r="H1524" s="794">
        <f>+J1488*G1524+E1524</f>
        <v>0</v>
      </c>
      <c r="I1524" s="795">
        <f>+J1489*G1524+E1524</f>
        <v>0</v>
      </c>
      <c r="J1524" s="792">
        <f t="shared" si="140"/>
        <v>0</v>
      </c>
      <c r="K1524" s="792"/>
      <c r="L1524" s="812"/>
      <c r="M1524" s="792">
        <f t="shared" si="134"/>
        <v>0</v>
      </c>
      <c r="N1524" s="812"/>
      <c r="O1524" s="792">
        <f t="shared" si="135"/>
        <v>0</v>
      </c>
      <c r="P1524" s="792">
        <f t="shared" si="136"/>
        <v>0</v>
      </c>
    </row>
    <row r="1525" spans="3:16">
      <c r="C1525" s="788" t="str">
        <f>IF(D1487="","-",+C1524+1)</f>
        <v>-</v>
      </c>
      <c r="D1525" s="736">
        <f t="shared" si="137"/>
        <v>0</v>
      </c>
      <c r="E1525" s="789">
        <f t="shared" si="139"/>
        <v>0</v>
      </c>
      <c r="F1525" s="789">
        <f t="shared" si="133"/>
        <v>0</v>
      </c>
      <c r="G1525" s="736">
        <f t="shared" si="138"/>
        <v>0</v>
      </c>
      <c r="H1525" s="794">
        <f>+J1488*G1525+E1525</f>
        <v>0</v>
      </c>
      <c r="I1525" s="795">
        <f>+J1489*G1525+E1525</f>
        <v>0</v>
      </c>
      <c r="J1525" s="792">
        <f t="shared" si="140"/>
        <v>0</v>
      </c>
      <c r="K1525" s="792"/>
      <c r="L1525" s="812"/>
      <c r="M1525" s="792">
        <f t="shared" si="134"/>
        <v>0</v>
      </c>
      <c r="N1525" s="812"/>
      <c r="O1525" s="792">
        <f t="shared" si="135"/>
        <v>0</v>
      </c>
      <c r="P1525" s="792">
        <f t="shared" si="136"/>
        <v>0</v>
      </c>
    </row>
    <row r="1526" spans="3:16">
      <c r="C1526" s="788" t="str">
        <f>IF(D1487="","-",+C1525+1)</f>
        <v>-</v>
      </c>
      <c r="D1526" s="736">
        <f t="shared" si="137"/>
        <v>0</v>
      </c>
      <c r="E1526" s="789">
        <f t="shared" si="139"/>
        <v>0</v>
      </c>
      <c r="F1526" s="789">
        <f t="shared" si="133"/>
        <v>0</v>
      </c>
      <c r="G1526" s="736">
        <f t="shared" si="138"/>
        <v>0</v>
      </c>
      <c r="H1526" s="794">
        <f>+J1488*G1526+E1526</f>
        <v>0</v>
      </c>
      <c r="I1526" s="795">
        <f>+J1489*G1526+E1526</f>
        <v>0</v>
      </c>
      <c r="J1526" s="792">
        <f t="shared" si="140"/>
        <v>0</v>
      </c>
      <c r="K1526" s="792"/>
      <c r="L1526" s="812"/>
      <c r="M1526" s="792">
        <f t="shared" si="134"/>
        <v>0</v>
      </c>
      <c r="N1526" s="812"/>
      <c r="O1526" s="792">
        <f t="shared" si="135"/>
        <v>0</v>
      </c>
      <c r="P1526" s="792">
        <f t="shared" si="136"/>
        <v>0</v>
      </c>
    </row>
    <row r="1527" spans="3:16">
      <c r="C1527" s="788" t="str">
        <f>IF(D1487="","-",+C1526+1)</f>
        <v>-</v>
      </c>
      <c r="D1527" s="736">
        <f t="shared" si="137"/>
        <v>0</v>
      </c>
      <c r="E1527" s="789">
        <f t="shared" si="139"/>
        <v>0</v>
      </c>
      <c r="F1527" s="789">
        <f t="shared" si="133"/>
        <v>0</v>
      </c>
      <c r="G1527" s="736">
        <f t="shared" si="138"/>
        <v>0</v>
      </c>
      <c r="H1527" s="794">
        <f>+J1488*G1527+E1527</f>
        <v>0</v>
      </c>
      <c r="I1527" s="795">
        <f>+J1489*G1527+E1527</f>
        <v>0</v>
      </c>
      <c r="J1527" s="792">
        <f t="shared" si="140"/>
        <v>0</v>
      </c>
      <c r="K1527" s="792"/>
      <c r="L1527" s="812"/>
      <c r="M1527" s="792">
        <f t="shared" si="134"/>
        <v>0</v>
      </c>
      <c r="N1527" s="812"/>
      <c r="O1527" s="792">
        <f t="shared" si="135"/>
        <v>0</v>
      </c>
      <c r="P1527" s="792">
        <f t="shared" si="136"/>
        <v>0</v>
      </c>
    </row>
    <row r="1528" spans="3:16">
      <c r="C1528" s="788" t="str">
        <f>IF(D1487="","-",+C1527+1)</f>
        <v>-</v>
      </c>
      <c r="D1528" s="736">
        <f t="shared" si="137"/>
        <v>0</v>
      </c>
      <c r="E1528" s="789">
        <f t="shared" si="139"/>
        <v>0</v>
      </c>
      <c r="F1528" s="789">
        <f t="shared" si="133"/>
        <v>0</v>
      </c>
      <c r="G1528" s="736">
        <f t="shared" si="138"/>
        <v>0</v>
      </c>
      <c r="H1528" s="794">
        <f>+J1488*G1528+E1528</f>
        <v>0</v>
      </c>
      <c r="I1528" s="795">
        <f>+J1489*G1528+E1528</f>
        <v>0</v>
      </c>
      <c r="J1528" s="792">
        <f t="shared" si="140"/>
        <v>0</v>
      </c>
      <c r="K1528" s="792"/>
      <c r="L1528" s="812"/>
      <c r="M1528" s="792">
        <f t="shared" si="134"/>
        <v>0</v>
      </c>
      <c r="N1528" s="812"/>
      <c r="O1528" s="792">
        <f t="shared" si="135"/>
        <v>0</v>
      </c>
      <c r="P1528" s="792">
        <f t="shared" si="136"/>
        <v>0</v>
      </c>
    </row>
    <row r="1529" spans="3:16">
      <c r="C1529" s="788" t="str">
        <f>IF(D1487="","-",+C1528+1)</f>
        <v>-</v>
      </c>
      <c r="D1529" s="736">
        <f t="shared" si="137"/>
        <v>0</v>
      </c>
      <c r="E1529" s="789">
        <f t="shared" si="139"/>
        <v>0</v>
      </c>
      <c r="F1529" s="789">
        <f t="shared" si="133"/>
        <v>0</v>
      </c>
      <c r="G1529" s="736">
        <f t="shared" si="138"/>
        <v>0</v>
      </c>
      <c r="H1529" s="794">
        <f>+J1488*G1529+E1529</f>
        <v>0</v>
      </c>
      <c r="I1529" s="795">
        <f>+J1489*G1529+E1529</f>
        <v>0</v>
      </c>
      <c r="J1529" s="792">
        <f t="shared" si="140"/>
        <v>0</v>
      </c>
      <c r="K1529" s="792"/>
      <c r="L1529" s="812"/>
      <c r="M1529" s="792">
        <f t="shared" si="134"/>
        <v>0</v>
      </c>
      <c r="N1529" s="812"/>
      <c r="O1529" s="792">
        <f t="shared" si="135"/>
        <v>0</v>
      </c>
      <c r="P1529" s="792">
        <f t="shared" si="136"/>
        <v>0</v>
      </c>
    </row>
    <row r="1530" spans="3:16">
      <c r="C1530" s="788" t="str">
        <f>IF(D1487="","-",+C1529+1)</f>
        <v>-</v>
      </c>
      <c r="D1530" s="736">
        <f t="shared" si="137"/>
        <v>0</v>
      </c>
      <c r="E1530" s="789">
        <f t="shared" si="139"/>
        <v>0</v>
      </c>
      <c r="F1530" s="789">
        <f t="shared" si="133"/>
        <v>0</v>
      </c>
      <c r="G1530" s="736">
        <f t="shared" si="138"/>
        <v>0</v>
      </c>
      <c r="H1530" s="794">
        <f>+J1488*G1530+E1530</f>
        <v>0</v>
      </c>
      <c r="I1530" s="795">
        <f>+J1489*G1530+E1530</f>
        <v>0</v>
      </c>
      <c r="J1530" s="792">
        <f t="shared" si="140"/>
        <v>0</v>
      </c>
      <c r="K1530" s="792"/>
      <c r="L1530" s="812"/>
      <c r="M1530" s="792">
        <f t="shared" si="134"/>
        <v>0</v>
      </c>
      <c r="N1530" s="812"/>
      <c r="O1530" s="792">
        <f t="shared" si="135"/>
        <v>0</v>
      </c>
      <c r="P1530" s="792">
        <f t="shared" si="136"/>
        <v>0</v>
      </c>
    </row>
    <row r="1531" spans="3:16">
      <c r="C1531" s="788" t="str">
        <f>IF(D1487="","-",+C1530+1)</f>
        <v>-</v>
      </c>
      <c r="D1531" s="736">
        <f t="shared" si="137"/>
        <v>0</v>
      </c>
      <c r="E1531" s="789">
        <f t="shared" si="139"/>
        <v>0</v>
      </c>
      <c r="F1531" s="789">
        <f t="shared" si="133"/>
        <v>0</v>
      </c>
      <c r="G1531" s="736">
        <f t="shared" si="138"/>
        <v>0</v>
      </c>
      <c r="H1531" s="794">
        <f>+J1488*G1531+E1531</f>
        <v>0</v>
      </c>
      <c r="I1531" s="795">
        <f>+J1489*G1531+E1531</f>
        <v>0</v>
      </c>
      <c r="J1531" s="792">
        <f t="shared" si="140"/>
        <v>0</v>
      </c>
      <c r="K1531" s="792"/>
      <c r="L1531" s="812"/>
      <c r="M1531" s="792">
        <f t="shared" si="134"/>
        <v>0</v>
      </c>
      <c r="N1531" s="812"/>
      <c r="O1531" s="792">
        <f t="shared" si="135"/>
        <v>0</v>
      </c>
      <c r="P1531" s="792">
        <f t="shared" si="136"/>
        <v>0</v>
      </c>
    </row>
    <row r="1532" spans="3:16">
      <c r="C1532" s="788" t="str">
        <f>IF(D1487="","-",+C1531+1)</f>
        <v>-</v>
      </c>
      <c r="D1532" s="736">
        <f t="shared" si="137"/>
        <v>0</v>
      </c>
      <c r="E1532" s="789">
        <f t="shared" si="139"/>
        <v>0</v>
      </c>
      <c r="F1532" s="789">
        <f t="shared" si="133"/>
        <v>0</v>
      </c>
      <c r="G1532" s="736">
        <f t="shared" si="138"/>
        <v>0</v>
      </c>
      <c r="H1532" s="794">
        <f>+J1488*G1532+E1532</f>
        <v>0</v>
      </c>
      <c r="I1532" s="795">
        <f>+J1489*G1532+E1532</f>
        <v>0</v>
      </c>
      <c r="J1532" s="792">
        <f t="shared" si="140"/>
        <v>0</v>
      </c>
      <c r="K1532" s="792"/>
      <c r="L1532" s="812"/>
      <c r="M1532" s="792">
        <f t="shared" si="134"/>
        <v>0</v>
      </c>
      <c r="N1532" s="812"/>
      <c r="O1532" s="792">
        <f t="shared" si="135"/>
        <v>0</v>
      </c>
      <c r="P1532" s="792">
        <f t="shared" si="136"/>
        <v>0</v>
      </c>
    </row>
    <row r="1533" spans="3:16">
      <c r="C1533" s="788" t="str">
        <f>IF(D1487="","-",+C1532+1)</f>
        <v>-</v>
      </c>
      <c r="D1533" s="736">
        <f t="shared" si="137"/>
        <v>0</v>
      </c>
      <c r="E1533" s="789">
        <f t="shared" si="139"/>
        <v>0</v>
      </c>
      <c r="F1533" s="789">
        <f t="shared" si="133"/>
        <v>0</v>
      </c>
      <c r="G1533" s="736">
        <f t="shared" si="138"/>
        <v>0</v>
      </c>
      <c r="H1533" s="794">
        <f>+J1488*G1533+E1533</f>
        <v>0</v>
      </c>
      <c r="I1533" s="795">
        <f>+J1489*G1533+E1533</f>
        <v>0</v>
      </c>
      <c r="J1533" s="792">
        <f t="shared" si="140"/>
        <v>0</v>
      </c>
      <c r="K1533" s="792"/>
      <c r="L1533" s="812"/>
      <c r="M1533" s="792">
        <f t="shared" si="134"/>
        <v>0</v>
      </c>
      <c r="N1533" s="812"/>
      <c r="O1533" s="792">
        <f t="shared" si="135"/>
        <v>0</v>
      </c>
      <c r="P1533" s="792">
        <f t="shared" si="136"/>
        <v>0</v>
      </c>
    </row>
    <row r="1534" spans="3:16">
      <c r="C1534" s="788" t="str">
        <f>IF(D1487="","-",+C1533+1)</f>
        <v>-</v>
      </c>
      <c r="D1534" s="736">
        <f t="shared" si="137"/>
        <v>0</v>
      </c>
      <c r="E1534" s="789">
        <f t="shared" si="139"/>
        <v>0</v>
      </c>
      <c r="F1534" s="789">
        <f t="shared" si="133"/>
        <v>0</v>
      </c>
      <c r="G1534" s="736">
        <f t="shared" si="138"/>
        <v>0</v>
      </c>
      <c r="H1534" s="794">
        <f>+J1488*G1534+E1534</f>
        <v>0</v>
      </c>
      <c r="I1534" s="795">
        <f>+J1489*G1534+E1534</f>
        <v>0</v>
      </c>
      <c r="J1534" s="792">
        <f t="shared" si="140"/>
        <v>0</v>
      </c>
      <c r="K1534" s="792"/>
      <c r="L1534" s="812"/>
      <c r="M1534" s="792">
        <f t="shared" si="134"/>
        <v>0</v>
      </c>
      <c r="N1534" s="812"/>
      <c r="O1534" s="792">
        <f t="shared" si="135"/>
        <v>0</v>
      </c>
      <c r="P1534" s="792">
        <f t="shared" si="136"/>
        <v>0</v>
      </c>
    </row>
    <row r="1535" spans="3:16">
      <c r="C1535" s="788" t="str">
        <f>IF(D1487="","-",+C1534+1)</f>
        <v>-</v>
      </c>
      <c r="D1535" s="736">
        <f t="shared" si="137"/>
        <v>0</v>
      </c>
      <c r="E1535" s="789">
        <f t="shared" si="139"/>
        <v>0</v>
      </c>
      <c r="F1535" s="789">
        <f t="shared" si="133"/>
        <v>0</v>
      </c>
      <c r="G1535" s="736">
        <f t="shared" si="138"/>
        <v>0</v>
      </c>
      <c r="H1535" s="794">
        <f>+J1488*G1535+E1535</f>
        <v>0</v>
      </c>
      <c r="I1535" s="795">
        <f>+J1489*G1535+E1535</f>
        <v>0</v>
      </c>
      <c r="J1535" s="792">
        <f t="shared" si="140"/>
        <v>0</v>
      </c>
      <c r="K1535" s="792"/>
      <c r="L1535" s="812"/>
      <c r="M1535" s="792">
        <f t="shared" si="134"/>
        <v>0</v>
      </c>
      <c r="N1535" s="812"/>
      <c r="O1535" s="792">
        <f t="shared" si="135"/>
        <v>0</v>
      </c>
      <c r="P1535" s="792">
        <f t="shared" si="136"/>
        <v>0</v>
      </c>
    </row>
    <row r="1536" spans="3:16">
      <c r="C1536" s="788" t="str">
        <f>IF(D1487="","-",+C1535+1)</f>
        <v>-</v>
      </c>
      <c r="D1536" s="736">
        <f t="shared" si="137"/>
        <v>0</v>
      </c>
      <c r="E1536" s="789">
        <f t="shared" si="139"/>
        <v>0</v>
      </c>
      <c r="F1536" s="789">
        <f t="shared" si="133"/>
        <v>0</v>
      </c>
      <c r="G1536" s="736">
        <f t="shared" si="138"/>
        <v>0</v>
      </c>
      <c r="H1536" s="794">
        <f>+J1488*G1536+E1536</f>
        <v>0</v>
      </c>
      <c r="I1536" s="795">
        <f>+J1489*G1536+E1536</f>
        <v>0</v>
      </c>
      <c r="J1536" s="792">
        <f t="shared" si="140"/>
        <v>0</v>
      </c>
      <c r="K1536" s="792"/>
      <c r="L1536" s="812"/>
      <c r="M1536" s="792">
        <f t="shared" si="134"/>
        <v>0</v>
      </c>
      <c r="N1536" s="812"/>
      <c r="O1536" s="792">
        <f t="shared" si="135"/>
        <v>0</v>
      </c>
      <c r="P1536" s="792">
        <f t="shared" si="136"/>
        <v>0</v>
      </c>
    </row>
    <row r="1537" spans="3:16">
      <c r="C1537" s="788" t="str">
        <f>IF(D1487="","-",+C1536+1)</f>
        <v>-</v>
      </c>
      <c r="D1537" s="736">
        <f t="shared" si="137"/>
        <v>0</v>
      </c>
      <c r="E1537" s="789">
        <f t="shared" si="139"/>
        <v>0</v>
      </c>
      <c r="F1537" s="789">
        <f t="shared" si="133"/>
        <v>0</v>
      </c>
      <c r="G1537" s="736">
        <f t="shared" si="138"/>
        <v>0</v>
      </c>
      <c r="H1537" s="794">
        <f>+J1488*G1537+E1537</f>
        <v>0</v>
      </c>
      <c r="I1537" s="795">
        <f>+J1489*G1537+E1537</f>
        <v>0</v>
      </c>
      <c r="J1537" s="792">
        <f t="shared" si="140"/>
        <v>0</v>
      </c>
      <c r="K1537" s="792"/>
      <c r="L1537" s="812"/>
      <c r="M1537" s="792">
        <f t="shared" si="134"/>
        <v>0</v>
      </c>
      <c r="N1537" s="812"/>
      <c r="O1537" s="792">
        <f t="shared" si="135"/>
        <v>0</v>
      </c>
      <c r="P1537" s="792">
        <f t="shared" si="136"/>
        <v>0</v>
      </c>
    </row>
    <row r="1538" spans="3:16">
      <c r="C1538" s="788" t="str">
        <f>IF(D1487="","-",+C1537+1)</f>
        <v>-</v>
      </c>
      <c r="D1538" s="736">
        <f t="shared" si="137"/>
        <v>0</v>
      </c>
      <c r="E1538" s="789">
        <f t="shared" si="139"/>
        <v>0</v>
      </c>
      <c r="F1538" s="789">
        <f t="shared" si="133"/>
        <v>0</v>
      </c>
      <c r="G1538" s="736">
        <f t="shared" si="138"/>
        <v>0</v>
      </c>
      <c r="H1538" s="794">
        <f>+J1488*G1538+E1538</f>
        <v>0</v>
      </c>
      <c r="I1538" s="795">
        <f>+J1489*G1538+E1538</f>
        <v>0</v>
      </c>
      <c r="J1538" s="792">
        <f t="shared" si="140"/>
        <v>0</v>
      </c>
      <c r="K1538" s="792"/>
      <c r="L1538" s="812"/>
      <c r="M1538" s="792">
        <f t="shared" si="134"/>
        <v>0</v>
      </c>
      <c r="N1538" s="812"/>
      <c r="O1538" s="792">
        <f t="shared" si="135"/>
        <v>0</v>
      </c>
      <c r="P1538" s="792">
        <f t="shared" si="136"/>
        <v>0</v>
      </c>
    </row>
    <row r="1539" spans="3:16">
      <c r="C1539" s="788" t="str">
        <f>IF(D1487="","-",+C1538+1)</f>
        <v>-</v>
      </c>
      <c r="D1539" s="736">
        <f t="shared" si="137"/>
        <v>0</v>
      </c>
      <c r="E1539" s="789">
        <f t="shared" si="139"/>
        <v>0</v>
      </c>
      <c r="F1539" s="789">
        <f t="shared" si="133"/>
        <v>0</v>
      </c>
      <c r="G1539" s="736">
        <f t="shared" si="138"/>
        <v>0</v>
      </c>
      <c r="H1539" s="794">
        <f>+J1488*G1539+E1539</f>
        <v>0</v>
      </c>
      <c r="I1539" s="795">
        <f>+J1489*G1539+E1539</f>
        <v>0</v>
      </c>
      <c r="J1539" s="792">
        <f t="shared" si="140"/>
        <v>0</v>
      </c>
      <c r="K1539" s="792"/>
      <c r="L1539" s="812"/>
      <c r="M1539" s="792">
        <f t="shared" si="134"/>
        <v>0</v>
      </c>
      <c r="N1539" s="812"/>
      <c r="O1539" s="792">
        <f t="shared" si="135"/>
        <v>0</v>
      </c>
      <c r="P1539" s="792">
        <f t="shared" si="136"/>
        <v>0</v>
      </c>
    </row>
    <row r="1540" spans="3:16">
      <c r="C1540" s="788" t="str">
        <f>IF(D1487="","-",+C1539+1)</f>
        <v>-</v>
      </c>
      <c r="D1540" s="736">
        <f t="shared" si="137"/>
        <v>0</v>
      </c>
      <c r="E1540" s="789">
        <f t="shared" si="139"/>
        <v>0</v>
      </c>
      <c r="F1540" s="789">
        <f t="shared" si="133"/>
        <v>0</v>
      </c>
      <c r="G1540" s="736">
        <f t="shared" si="138"/>
        <v>0</v>
      </c>
      <c r="H1540" s="794">
        <f>+J1488*G1540+E1540</f>
        <v>0</v>
      </c>
      <c r="I1540" s="795">
        <f>+J1489*G1540+E1540</f>
        <v>0</v>
      </c>
      <c r="J1540" s="792">
        <f t="shared" si="140"/>
        <v>0</v>
      </c>
      <c r="K1540" s="792"/>
      <c r="L1540" s="812"/>
      <c r="M1540" s="792">
        <f t="shared" si="134"/>
        <v>0</v>
      </c>
      <c r="N1540" s="812"/>
      <c r="O1540" s="792">
        <f t="shared" si="135"/>
        <v>0</v>
      </c>
      <c r="P1540" s="792">
        <f t="shared" si="136"/>
        <v>0</v>
      </c>
    </row>
    <row r="1541" spans="3:16">
      <c r="C1541" s="788" t="str">
        <f>IF(D1487="","-",+C1540+1)</f>
        <v>-</v>
      </c>
      <c r="D1541" s="736">
        <f t="shared" si="137"/>
        <v>0</v>
      </c>
      <c r="E1541" s="789">
        <f t="shared" si="139"/>
        <v>0</v>
      </c>
      <c r="F1541" s="789">
        <f t="shared" si="133"/>
        <v>0</v>
      </c>
      <c r="G1541" s="736">
        <f t="shared" si="138"/>
        <v>0</v>
      </c>
      <c r="H1541" s="794">
        <f>+J1488*G1541+E1541</f>
        <v>0</v>
      </c>
      <c r="I1541" s="795">
        <f>+J1489*G1541+E1541</f>
        <v>0</v>
      </c>
      <c r="J1541" s="792">
        <f t="shared" si="140"/>
        <v>0</v>
      </c>
      <c r="K1541" s="792"/>
      <c r="L1541" s="812"/>
      <c r="M1541" s="792">
        <f t="shared" si="134"/>
        <v>0</v>
      </c>
      <c r="N1541" s="812"/>
      <c r="O1541" s="792">
        <f t="shared" si="135"/>
        <v>0</v>
      </c>
      <c r="P1541" s="792">
        <f t="shared" si="136"/>
        <v>0</v>
      </c>
    </row>
    <row r="1542" spans="3:16">
      <c r="C1542" s="788" t="str">
        <f>IF(D1487="","-",+C1541+1)</f>
        <v>-</v>
      </c>
      <c r="D1542" s="736">
        <f t="shared" si="137"/>
        <v>0</v>
      </c>
      <c r="E1542" s="789">
        <f t="shared" si="139"/>
        <v>0</v>
      </c>
      <c r="F1542" s="789">
        <f t="shared" si="133"/>
        <v>0</v>
      </c>
      <c r="G1542" s="736">
        <f t="shared" si="138"/>
        <v>0</v>
      </c>
      <c r="H1542" s="794">
        <f>+J1488*G1542+E1542</f>
        <v>0</v>
      </c>
      <c r="I1542" s="795">
        <f>+J1489*G1542+E1542</f>
        <v>0</v>
      </c>
      <c r="J1542" s="792">
        <f t="shared" si="140"/>
        <v>0</v>
      </c>
      <c r="K1542" s="792"/>
      <c r="L1542" s="812"/>
      <c r="M1542" s="792">
        <f t="shared" si="134"/>
        <v>0</v>
      </c>
      <c r="N1542" s="812"/>
      <c r="O1542" s="792">
        <f t="shared" si="135"/>
        <v>0</v>
      </c>
      <c r="P1542" s="792">
        <f t="shared" si="136"/>
        <v>0</v>
      </c>
    </row>
    <row r="1543" spans="3:16">
      <c r="C1543" s="788" t="str">
        <f>IF(D1487="","-",+C1542+1)</f>
        <v>-</v>
      </c>
      <c r="D1543" s="736">
        <f t="shared" si="137"/>
        <v>0</v>
      </c>
      <c r="E1543" s="789">
        <f t="shared" si="139"/>
        <v>0</v>
      </c>
      <c r="F1543" s="789">
        <f t="shared" si="133"/>
        <v>0</v>
      </c>
      <c r="G1543" s="736">
        <f t="shared" si="138"/>
        <v>0</v>
      </c>
      <c r="H1543" s="794">
        <f>+J1488*G1543+E1543</f>
        <v>0</v>
      </c>
      <c r="I1543" s="795">
        <f>+J1489*G1543+E1543</f>
        <v>0</v>
      </c>
      <c r="J1543" s="792">
        <f t="shared" si="140"/>
        <v>0</v>
      </c>
      <c r="K1543" s="792"/>
      <c r="L1543" s="812"/>
      <c r="M1543" s="792">
        <f t="shared" si="134"/>
        <v>0</v>
      </c>
      <c r="N1543" s="812"/>
      <c r="O1543" s="792">
        <f t="shared" si="135"/>
        <v>0</v>
      </c>
      <c r="P1543" s="792">
        <f t="shared" si="136"/>
        <v>0</v>
      </c>
    </row>
    <row r="1544" spans="3:16">
      <c r="C1544" s="788" t="str">
        <f>IF(D1487="","-",+C1543+1)</f>
        <v>-</v>
      </c>
      <c r="D1544" s="736">
        <f t="shared" si="137"/>
        <v>0</v>
      </c>
      <c r="E1544" s="789">
        <f t="shared" si="139"/>
        <v>0</v>
      </c>
      <c r="F1544" s="789">
        <f t="shared" si="133"/>
        <v>0</v>
      </c>
      <c r="G1544" s="736">
        <f t="shared" si="138"/>
        <v>0</v>
      </c>
      <c r="H1544" s="794">
        <f>+J1488*G1544+E1544</f>
        <v>0</v>
      </c>
      <c r="I1544" s="795">
        <f>+J1489*G1544+E1544</f>
        <v>0</v>
      </c>
      <c r="J1544" s="792">
        <f t="shared" si="140"/>
        <v>0</v>
      </c>
      <c r="K1544" s="792"/>
      <c r="L1544" s="812"/>
      <c r="M1544" s="792">
        <f t="shared" si="134"/>
        <v>0</v>
      </c>
      <c r="N1544" s="812"/>
      <c r="O1544" s="792">
        <f t="shared" si="135"/>
        <v>0</v>
      </c>
      <c r="P1544" s="792">
        <f t="shared" si="136"/>
        <v>0</v>
      </c>
    </row>
    <row r="1545" spans="3:16">
      <c r="C1545" s="788" t="str">
        <f>IF(D1487="","-",+C1544+1)</f>
        <v>-</v>
      </c>
      <c r="D1545" s="736">
        <f t="shared" si="137"/>
        <v>0</v>
      </c>
      <c r="E1545" s="789">
        <f t="shared" si="139"/>
        <v>0</v>
      </c>
      <c r="F1545" s="789">
        <f t="shared" si="133"/>
        <v>0</v>
      </c>
      <c r="G1545" s="736">
        <f t="shared" si="138"/>
        <v>0</v>
      </c>
      <c r="H1545" s="794">
        <f>+J1488*G1545+E1545</f>
        <v>0</v>
      </c>
      <c r="I1545" s="795">
        <f>+J1489*G1545+E1545</f>
        <v>0</v>
      </c>
      <c r="J1545" s="792">
        <f t="shared" si="140"/>
        <v>0</v>
      </c>
      <c r="K1545" s="792"/>
      <c r="L1545" s="812"/>
      <c r="M1545" s="792">
        <f t="shared" si="134"/>
        <v>0</v>
      </c>
      <c r="N1545" s="812"/>
      <c r="O1545" s="792">
        <f t="shared" si="135"/>
        <v>0</v>
      </c>
      <c r="P1545" s="792">
        <f t="shared" si="136"/>
        <v>0</v>
      </c>
    </row>
    <row r="1546" spans="3:16">
      <c r="C1546" s="788" t="str">
        <f>IF(D1487="","-",+C1545+1)</f>
        <v>-</v>
      </c>
      <c r="D1546" s="736">
        <f t="shared" si="137"/>
        <v>0</v>
      </c>
      <c r="E1546" s="789">
        <f t="shared" si="139"/>
        <v>0</v>
      </c>
      <c r="F1546" s="789">
        <f t="shared" si="133"/>
        <v>0</v>
      </c>
      <c r="G1546" s="736">
        <f t="shared" si="138"/>
        <v>0</v>
      </c>
      <c r="H1546" s="794">
        <f>+J1488*G1546+E1546</f>
        <v>0</v>
      </c>
      <c r="I1546" s="795">
        <f>+J1489*G1546+E1546</f>
        <v>0</v>
      </c>
      <c r="J1546" s="792">
        <f t="shared" si="140"/>
        <v>0</v>
      </c>
      <c r="K1546" s="792"/>
      <c r="L1546" s="812"/>
      <c r="M1546" s="792">
        <f t="shared" si="134"/>
        <v>0</v>
      </c>
      <c r="N1546" s="812"/>
      <c r="O1546" s="792">
        <f t="shared" si="135"/>
        <v>0</v>
      </c>
      <c r="P1546" s="792">
        <f t="shared" si="136"/>
        <v>0</v>
      </c>
    </row>
    <row r="1547" spans="3:16">
      <c r="C1547" s="788" t="str">
        <f>IF(D1487="","-",+C1546+1)</f>
        <v>-</v>
      </c>
      <c r="D1547" s="736">
        <f t="shared" si="137"/>
        <v>0</v>
      </c>
      <c r="E1547" s="789">
        <f t="shared" si="139"/>
        <v>0</v>
      </c>
      <c r="F1547" s="789">
        <f t="shared" si="133"/>
        <v>0</v>
      </c>
      <c r="G1547" s="736">
        <f t="shared" si="138"/>
        <v>0</v>
      </c>
      <c r="H1547" s="794">
        <f>+J1488*G1547+E1547</f>
        <v>0</v>
      </c>
      <c r="I1547" s="795">
        <f>+J1489*G1547+E1547</f>
        <v>0</v>
      </c>
      <c r="J1547" s="792">
        <f t="shared" si="140"/>
        <v>0</v>
      </c>
      <c r="K1547" s="792"/>
      <c r="L1547" s="812"/>
      <c r="M1547" s="792">
        <f t="shared" si="134"/>
        <v>0</v>
      </c>
      <c r="N1547" s="812"/>
      <c r="O1547" s="792">
        <f t="shared" si="135"/>
        <v>0</v>
      </c>
      <c r="P1547" s="792">
        <f t="shared" si="136"/>
        <v>0</v>
      </c>
    </row>
    <row r="1548" spans="3:16">
      <c r="C1548" s="788" t="str">
        <f>IF(D1487="","-",+C1547+1)</f>
        <v>-</v>
      </c>
      <c r="D1548" s="736">
        <f t="shared" si="137"/>
        <v>0</v>
      </c>
      <c r="E1548" s="789">
        <f t="shared" si="139"/>
        <v>0</v>
      </c>
      <c r="F1548" s="789">
        <f t="shared" si="133"/>
        <v>0</v>
      </c>
      <c r="G1548" s="736">
        <f t="shared" si="138"/>
        <v>0</v>
      </c>
      <c r="H1548" s="794">
        <f>+J1488*G1548+E1548</f>
        <v>0</v>
      </c>
      <c r="I1548" s="795">
        <f>+J1489*G1548+E1548</f>
        <v>0</v>
      </c>
      <c r="J1548" s="792">
        <f t="shared" si="140"/>
        <v>0</v>
      </c>
      <c r="K1548" s="792"/>
      <c r="L1548" s="812"/>
      <c r="M1548" s="792">
        <f t="shared" si="134"/>
        <v>0</v>
      </c>
      <c r="N1548" s="812"/>
      <c r="O1548" s="792">
        <f t="shared" si="135"/>
        <v>0</v>
      </c>
      <c r="P1548" s="792">
        <f t="shared" si="136"/>
        <v>0</v>
      </c>
    </row>
    <row r="1549" spans="3:16">
      <c r="C1549" s="788" t="str">
        <f>IF(D1487="","-",+C1548+1)</f>
        <v>-</v>
      </c>
      <c r="D1549" s="736">
        <f t="shared" si="137"/>
        <v>0</v>
      </c>
      <c r="E1549" s="789">
        <f t="shared" si="139"/>
        <v>0</v>
      </c>
      <c r="F1549" s="789">
        <f t="shared" si="133"/>
        <v>0</v>
      </c>
      <c r="G1549" s="736">
        <f t="shared" si="138"/>
        <v>0</v>
      </c>
      <c r="H1549" s="794">
        <f>+J1488*G1549+E1549</f>
        <v>0</v>
      </c>
      <c r="I1549" s="795">
        <f>+J1489*G1549+E1549</f>
        <v>0</v>
      </c>
      <c r="J1549" s="792">
        <f t="shared" si="140"/>
        <v>0</v>
      </c>
      <c r="K1549" s="792"/>
      <c r="L1549" s="812"/>
      <c r="M1549" s="792">
        <f t="shared" si="134"/>
        <v>0</v>
      </c>
      <c r="N1549" s="812"/>
      <c r="O1549" s="792">
        <f t="shared" si="135"/>
        <v>0</v>
      </c>
      <c r="P1549" s="792">
        <f t="shared" si="136"/>
        <v>0</v>
      </c>
    </row>
    <row r="1550" spans="3:16">
      <c r="C1550" s="788" t="str">
        <f>IF(D1487="","-",+C1549+1)</f>
        <v>-</v>
      </c>
      <c r="D1550" s="736">
        <f t="shared" si="137"/>
        <v>0</v>
      </c>
      <c r="E1550" s="789">
        <f t="shared" si="139"/>
        <v>0</v>
      </c>
      <c r="F1550" s="789">
        <f t="shared" si="133"/>
        <v>0</v>
      </c>
      <c r="G1550" s="736">
        <f t="shared" si="138"/>
        <v>0</v>
      </c>
      <c r="H1550" s="794">
        <f>+J1488*G1550+E1550</f>
        <v>0</v>
      </c>
      <c r="I1550" s="795">
        <f>+J1489*G1550+E1550</f>
        <v>0</v>
      </c>
      <c r="J1550" s="792">
        <f t="shared" si="140"/>
        <v>0</v>
      </c>
      <c r="K1550" s="792"/>
      <c r="L1550" s="812"/>
      <c r="M1550" s="792">
        <f t="shared" si="134"/>
        <v>0</v>
      </c>
      <c r="N1550" s="812"/>
      <c r="O1550" s="792">
        <f t="shared" si="135"/>
        <v>0</v>
      </c>
      <c r="P1550" s="792">
        <f t="shared" si="136"/>
        <v>0</v>
      </c>
    </row>
    <row r="1551" spans="3:16">
      <c r="C1551" s="788" t="str">
        <f>IF(D1487="","-",+C1550+1)</f>
        <v>-</v>
      </c>
      <c r="D1551" s="736">
        <f t="shared" si="137"/>
        <v>0</v>
      </c>
      <c r="E1551" s="789">
        <f t="shared" si="139"/>
        <v>0</v>
      </c>
      <c r="F1551" s="789">
        <f t="shared" si="133"/>
        <v>0</v>
      </c>
      <c r="G1551" s="736">
        <f t="shared" si="138"/>
        <v>0</v>
      </c>
      <c r="H1551" s="794">
        <f>+J1488*G1551+E1551</f>
        <v>0</v>
      </c>
      <c r="I1551" s="795">
        <f>+J1489*G1551+E1551</f>
        <v>0</v>
      </c>
      <c r="J1551" s="792">
        <f t="shared" si="140"/>
        <v>0</v>
      </c>
      <c r="K1551" s="792"/>
      <c r="L1551" s="812"/>
      <c r="M1551" s="792">
        <f t="shared" si="134"/>
        <v>0</v>
      </c>
      <c r="N1551" s="812"/>
      <c r="O1551" s="792">
        <f t="shared" si="135"/>
        <v>0</v>
      </c>
      <c r="P1551" s="792">
        <f t="shared" si="136"/>
        <v>0</v>
      </c>
    </row>
    <row r="1552" spans="3:16" ht="13.5" thickBot="1">
      <c r="C1552" s="798" t="str">
        <f>IF(D1487="","-",+C1551+1)</f>
        <v>-</v>
      </c>
      <c r="D1552" s="799">
        <f t="shared" si="137"/>
        <v>0</v>
      </c>
      <c r="E1552" s="800">
        <f t="shared" si="139"/>
        <v>0</v>
      </c>
      <c r="F1552" s="1322">
        <f t="shared" si="133"/>
        <v>0</v>
      </c>
      <c r="G1552" s="799">
        <f t="shared" si="138"/>
        <v>0</v>
      </c>
      <c r="H1552" s="801">
        <f>+J1488*G1552+E1552</f>
        <v>0</v>
      </c>
      <c r="I1552" s="801">
        <f>+J1489*G1552+E1552</f>
        <v>0</v>
      </c>
      <c r="J1552" s="802">
        <f t="shared" si="140"/>
        <v>0</v>
      </c>
      <c r="K1552" s="792"/>
      <c r="L1552" s="813"/>
      <c r="M1552" s="802">
        <f t="shared" si="134"/>
        <v>0</v>
      </c>
      <c r="N1552" s="813"/>
      <c r="O1552" s="802">
        <f t="shared" si="135"/>
        <v>0</v>
      </c>
      <c r="P1552" s="802">
        <f t="shared" si="136"/>
        <v>0</v>
      </c>
    </row>
    <row r="1553" spans="1:17">
      <c r="C1553" s="736" t="s">
        <v>83</v>
      </c>
      <c r="D1553" s="730"/>
      <c r="E1553" s="730">
        <f>SUM(E1493:E1552)</f>
        <v>0</v>
      </c>
      <c r="F1553" s="730"/>
      <c r="G1553" s="730"/>
      <c r="H1553" s="730">
        <f>SUM(H1493:H1552)</f>
        <v>0</v>
      </c>
      <c r="I1553" s="730">
        <f>SUM(I1493:I1552)</f>
        <v>0</v>
      </c>
      <c r="J1553" s="730">
        <f>SUM(J1493:J1552)</f>
        <v>0</v>
      </c>
      <c r="K1553" s="730"/>
      <c r="L1553" s="730"/>
      <c r="M1553" s="730"/>
      <c r="N1553" s="730"/>
      <c r="O1553" s="730"/>
    </row>
    <row r="1554" spans="1:17">
      <c r="D1554" s="538"/>
      <c r="E1554" s="313"/>
      <c r="F1554" s="313"/>
      <c r="G1554" s="313"/>
      <c r="H1554" s="313"/>
      <c r="I1554" s="708"/>
      <c r="J1554" s="708"/>
      <c r="K1554" s="730"/>
      <c r="L1554" s="708"/>
      <c r="M1554" s="708"/>
      <c r="N1554" s="708"/>
      <c r="O1554" s="708"/>
    </row>
    <row r="1555" spans="1:17">
      <c r="C1555" s="313" t="s">
        <v>13</v>
      </c>
      <c r="D1555" s="538"/>
      <c r="E1555" s="313"/>
      <c r="F1555" s="313"/>
      <c r="G1555" s="313"/>
      <c r="H1555" s="313"/>
      <c r="I1555" s="708"/>
      <c r="J1555" s="708"/>
      <c r="K1555" s="730"/>
      <c r="L1555" s="708"/>
      <c r="M1555" s="708"/>
      <c r="N1555" s="708"/>
      <c r="O1555" s="708"/>
    </row>
    <row r="1556" spans="1:17">
      <c r="C1556" s="313"/>
      <c r="D1556" s="538"/>
      <c r="E1556" s="313"/>
      <c r="F1556" s="313"/>
      <c r="G1556" s="313"/>
      <c r="H1556" s="313"/>
      <c r="I1556" s="708"/>
      <c r="J1556" s="708"/>
      <c r="K1556" s="730"/>
      <c r="L1556" s="708"/>
      <c r="M1556" s="708"/>
      <c r="N1556" s="708"/>
      <c r="O1556" s="708"/>
    </row>
    <row r="1557" spans="1:17">
      <c r="C1557" s="749" t="s">
        <v>14</v>
      </c>
      <c r="D1557" s="736"/>
      <c r="E1557" s="736"/>
      <c r="F1557" s="736"/>
      <c r="G1557" s="736"/>
      <c r="H1557" s="730"/>
      <c r="I1557" s="730"/>
      <c r="J1557" s="804"/>
      <c r="K1557" s="804"/>
      <c r="L1557" s="804"/>
      <c r="M1557" s="804"/>
      <c r="N1557" s="804"/>
      <c r="O1557" s="804"/>
    </row>
    <row r="1558" spans="1:17">
      <c r="C1558" s="735" t="s">
        <v>263</v>
      </c>
      <c r="D1558" s="736"/>
      <c r="E1558" s="736"/>
      <c r="F1558" s="736"/>
      <c r="G1558" s="736"/>
      <c r="H1558" s="730"/>
      <c r="I1558" s="730"/>
      <c r="J1558" s="804"/>
      <c r="K1558" s="804"/>
      <c r="L1558" s="804"/>
      <c r="M1558" s="804"/>
      <c r="N1558" s="804"/>
      <c r="O1558" s="804"/>
    </row>
    <row r="1559" spans="1:17">
      <c r="C1559" s="735" t="s">
        <v>84</v>
      </c>
      <c r="D1559" s="736"/>
      <c r="E1559" s="736"/>
      <c r="F1559" s="736"/>
      <c r="G1559" s="736"/>
      <c r="H1559" s="730"/>
      <c r="I1559" s="730"/>
      <c r="J1559" s="804"/>
      <c r="K1559" s="804"/>
      <c r="L1559" s="804"/>
      <c r="M1559" s="804"/>
      <c r="N1559" s="804"/>
      <c r="O1559" s="804"/>
    </row>
    <row r="1561" spans="1:17" ht="20.25">
      <c r="A1561" s="737" t="str">
        <f>""&amp;A1485&amp;" Worksheet K -  ATRR TRUE-UP Calculation for PJM Projects Charged to Benefiting Zones"</f>
        <v xml:space="preserve"> Worksheet K -  ATRR TRUE-UP Calculation for PJM Projects Charged to Benefiting Zones</v>
      </c>
      <c r="B1561" s="347"/>
      <c r="C1561" s="725"/>
      <c r="D1561" s="538"/>
      <c r="E1561" s="313"/>
      <c r="F1561" s="707"/>
      <c r="G1561" s="707"/>
      <c r="H1561" s="313"/>
      <c r="I1561" s="708"/>
      <c r="L1561" s="564"/>
      <c r="M1561" s="564"/>
      <c r="N1561" s="564"/>
      <c r="O1561" s="653" t="str">
        <f>"Page "&amp;SUM(Q$8:Q1561)&amp;" of "</f>
        <v xml:space="preserve">Page 19 of </v>
      </c>
      <c r="P1561" s="654">
        <f>COUNT(Q$8:Q$57703)</f>
        <v>22</v>
      </c>
      <c r="Q1561" s="655">
        <v>1</v>
      </c>
    </row>
    <row r="1562" spans="1:17">
      <c r="B1562" s="347"/>
      <c r="C1562" s="313"/>
      <c r="D1562" s="538"/>
      <c r="E1562" s="313"/>
      <c r="F1562" s="313"/>
      <c r="G1562" s="313"/>
      <c r="H1562" s="313"/>
      <c r="I1562" s="708"/>
      <c r="J1562" s="313"/>
      <c r="K1562" s="426"/>
    </row>
    <row r="1563" spans="1:17" ht="18">
      <c r="B1563" s="657" t="s">
        <v>466</v>
      </c>
      <c r="C1563" s="739" t="s">
        <v>85</v>
      </c>
      <c r="D1563" s="538"/>
      <c r="E1563" s="313"/>
      <c r="F1563" s="313"/>
      <c r="G1563" s="313"/>
      <c r="H1563" s="313"/>
      <c r="I1563" s="708"/>
      <c r="J1563" s="708"/>
      <c r="K1563" s="730"/>
      <c r="L1563" s="708"/>
      <c r="M1563" s="708"/>
      <c r="N1563" s="708"/>
      <c r="O1563" s="708"/>
    </row>
    <row r="1564" spans="1:17" ht="18.75">
      <c r="B1564" s="657"/>
      <c r="C1564" s="656"/>
      <c r="D1564" s="538"/>
      <c r="E1564" s="313"/>
      <c r="F1564" s="313"/>
      <c r="G1564" s="313"/>
      <c r="H1564" s="313"/>
      <c r="I1564" s="708"/>
      <c r="J1564" s="708"/>
      <c r="K1564" s="730"/>
      <c r="L1564" s="708"/>
      <c r="M1564" s="708"/>
      <c r="N1564" s="708"/>
      <c r="O1564" s="708"/>
    </row>
    <row r="1565" spans="1:17" ht="18.75">
      <c r="B1565" s="657"/>
      <c r="C1565" s="656" t="s">
        <v>86</v>
      </c>
      <c r="D1565" s="538"/>
      <c r="E1565" s="313"/>
      <c r="F1565" s="313"/>
      <c r="G1565" s="313"/>
      <c r="H1565" s="313"/>
      <c r="I1565" s="708"/>
      <c r="J1565" s="708"/>
      <c r="K1565" s="730"/>
      <c r="L1565" s="708"/>
      <c r="M1565" s="708"/>
      <c r="N1565" s="708"/>
      <c r="O1565" s="708"/>
    </row>
    <row r="1566" spans="1:17" ht="15.75" thickBot="1">
      <c r="C1566" s="239"/>
      <c r="D1566" s="538"/>
      <c r="E1566" s="313"/>
      <c r="F1566" s="313"/>
      <c r="G1566" s="313"/>
      <c r="H1566" s="313"/>
      <c r="I1566" s="708"/>
      <c r="J1566" s="708"/>
      <c r="K1566" s="730"/>
      <c r="L1566" s="708"/>
      <c r="M1566" s="708"/>
      <c r="N1566" s="708"/>
      <c r="O1566" s="708"/>
    </row>
    <row r="1567" spans="1:17" ht="15.75">
      <c r="C1567" s="659" t="s">
        <v>87</v>
      </c>
      <c r="D1567" s="538"/>
      <c r="E1567" s="313"/>
      <c r="F1567" s="313"/>
      <c r="G1567" s="313"/>
      <c r="H1567" s="806"/>
      <c r="I1567" s="313" t="s">
        <v>66</v>
      </c>
      <c r="J1567" s="313"/>
      <c r="K1567" s="426"/>
      <c r="L1567" s="835">
        <f>+J1573</f>
        <v>2023</v>
      </c>
      <c r="M1567" s="816" t="s">
        <v>45</v>
      </c>
      <c r="N1567" s="816" t="s">
        <v>46</v>
      </c>
      <c r="O1567" s="817" t="s">
        <v>47</v>
      </c>
    </row>
    <row r="1568" spans="1:17" ht="15.75">
      <c r="C1568" s="659"/>
      <c r="D1568" s="538"/>
      <c r="E1568" s="313"/>
      <c r="F1568" s="313"/>
      <c r="H1568" s="313"/>
      <c r="I1568" s="744"/>
      <c r="J1568" s="744"/>
      <c r="K1568" s="745"/>
      <c r="L1568" s="836" t="s">
        <v>235</v>
      </c>
      <c r="M1568" s="837">
        <f>VLOOKUP(J1573,C1580:P1639,10)</f>
        <v>1092701.1742280044</v>
      </c>
      <c r="N1568" s="837">
        <f>VLOOKUP(J1573,C1580:P1639,12)</f>
        <v>1092701.1742280044</v>
      </c>
      <c r="O1568" s="838">
        <f>+N1568-M1568</f>
        <v>0</v>
      </c>
    </row>
    <row r="1569" spans="2:16" ht="12.95" customHeight="1">
      <c r="C1569" s="749" t="s">
        <v>88</v>
      </c>
      <c r="D1569" s="1537" t="s">
        <v>827</v>
      </c>
      <c r="E1569" s="1537"/>
      <c r="F1569" s="1537"/>
      <c r="G1569" s="1537"/>
      <c r="H1569" s="1537"/>
      <c r="I1569" s="1537"/>
      <c r="J1569" s="708"/>
      <c r="K1569" s="730"/>
      <c r="L1569" s="836" t="s">
        <v>236</v>
      </c>
      <c r="M1569" s="839">
        <f>VLOOKUP(J1573,C1580:P1639,6)</f>
        <v>1046040.4102397508</v>
      </c>
      <c r="N1569" s="839">
        <f>VLOOKUP(J1573,C1580:P1639,7)</f>
        <v>1046040.4102397508</v>
      </c>
      <c r="O1569" s="840">
        <f>+N1569-M1569</f>
        <v>0</v>
      </c>
    </row>
    <row r="1570" spans="2:16" ht="13.5" thickBot="1">
      <c r="C1570" s="753"/>
      <c r="D1570" s="1537" t="s">
        <v>408</v>
      </c>
      <c r="E1570" s="1537"/>
      <c r="F1570" s="1537"/>
      <c r="G1570" s="1537"/>
      <c r="H1570" s="1537"/>
      <c r="I1570" s="1537"/>
      <c r="J1570" s="708"/>
      <c r="K1570" s="730"/>
      <c r="L1570" s="772" t="s">
        <v>237</v>
      </c>
      <c r="M1570" s="841">
        <f>+M1569-M1568</f>
        <v>-46660.763988253661</v>
      </c>
      <c r="N1570" s="841">
        <f>+N1569-N1568</f>
        <v>-46660.763988253661</v>
      </c>
      <c r="O1570" s="842">
        <f>+O1569-O1568</f>
        <v>0</v>
      </c>
    </row>
    <row r="1571" spans="2:16" ht="13.5" thickBot="1">
      <c r="C1571" s="756"/>
      <c r="D1571" s="757"/>
      <c r="E1571" s="755"/>
      <c r="F1571" s="755"/>
      <c r="G1571" s="755"/>
      <c r="H1571" s="755"/>
      <c r="I1571" s="755"/>
      <c r="J1571" s="755"/>
      <c r="K1571" s="758"/>
      <c r="L1571" s="755"/>
      <c r="M1571" s="755"/>
      <c r="N1571" s="755"/>
      <c r="O1571" s="755"/>
      <c r="P1571" s="347"/>
    </row>
    <row r="1572" spans="2:16" ht="13.5" thickBot="1">
      <c r="C1572" s="759" t="s">
        <v>89</v>
      </c>
      <c r="D1572" s="760"/>
      <c r="E1572" s="760"/>
      <c r="F1572" s="760"/>
      <c r="G1572" s="760"/>
      <c r="H1572" s="760"/>
      <c r="I1572" s="760"/>
      <c r="J1572" s="760"/>
      <c r="K1572" s="762"/>
      <c r="P1572" s="763"/>
    </row>
    <row r="1573" spans="2:16" ht="15">
      <c r="C1573" s="764" t="s">
        <v>67</v>
      </c>
      <c r="D1573" s="808">
        <v>7360771.7699999996</v>
      </c>
      <c r="E1573" s="725" t="s">
        <v>68</v>
      </c>
      <c r="H1573" s="765"/>
      <c r="I1573" s="765"/>
      <c r="J1573" s="766">
        <f>$J$93</f>
        <v>2023</v>
      </c>
      <c r="K1573" s="554"/>
      <c r="L1573" s="1536" t="s">
        <v>69</v>
      </c>
      <c r="M1573" s="1536"/>
      <c r="N1573" s="1536"/>
      <c r="O1573" s="1536"/>
      <c r="P1573" s="426"/>
    </row>
    <row r="1574" spans="2:16">
      <c r="C1574" s="764" t="s">
        <v>70</v>
      </c>
      <c r="D1574" s="809">
        <v>2015</v>
      </c>
      <c r="E1574" s="764" t="s">
        <v>71</v>
      </c>
      <c r="F1574" s="765"/>
      <c r="G1574" s="765"/>
      <c r="I1574" s="172"/>
      <c r="J1574" s="810">
        <f>IF(H1567="",0,$F$17)</f>
        <v>0</v>
      </c>
      <c r="K1574" s="767"/>
      <c r="L1574" s="730" t="s">
        <v>277</v>
      </c>
      <c r="P1574" s="426"/>
    </row>
    <row r="1575" spans="2:16">
      <c r="C1575" s="764" t="s">
        <v>72</v>
      </c>
      <c r="D1575" s="808">
        <v>12</v>
      </c>
      <c r="E1575" s="764" t="s">
        <v>73</v>
      </c>
      <c r="F1575" s="765"/>
      <c r="G1575" s="765"/>
      <c r="I1575" s="172"/>
      <c r="J1575" s="768">
        <f>$F$70</f>
        <v>0.14450383244078713</v>
      </c>
      <c r="K1575" s="769"/>
      <c r="L1575" s="313" t="str">
        <f>"          INPUT TRUE-UP ARR (WITH &amp; WITHOUT INCENTIVES) FROM EACH PRIOR YEAR"</f>
        <v xml:space="preserve">          INPUT TRUE-UP ARR (WITH &amp; WITHOUT INCENTIVES) FROM EACH PRIOR YEAR</v>
      </c>
      <c r="P1575" s="426"/>
    </row>
    <row r="1576" spans="2:16">
      <c r="C1576" s="764" t="s">
        <v>74</v>
      </c>
      <c r="D1576" s="770">
        <f>H$79</f>
        <v>35</v>
      </c>
      <c r="E1576" s="764" t="s">
        <v>75</v>
      </c>
      <c r="F1576" s="765"/>
      <c r="G1576" s="765"/>
      <c r="I1576" s="172"/>
      <c r="J1576" s="768">
        <f>IF(H1567="",+J1575,$F$69)</f>
        <v>0.14450383244078713</v>
      </c>
      <c r="K1576" s="771"/>
      <c r="L1576" s="313" t="s">
        <v>157</v>
      </c>
      <c r="M1576" s="771"/>
      <c r="N1576" s="771"/>
      <c r="O1576" s="771"/>
      <c r="P1576" s="426"/>
    </row>
    <row r="1577" spans="2:16" ht="13.5" thickBot="1">
      <c r="C1577" s="764" t="s">
        <v>76</v>
      </c>
      <c r="D1577" s="807" t="s">
        <v>808</v>
      </c>
      <c r="E1577" s="772" t="s">
        <v>77</v>
      </c>
      <c r="F1577" s="773"/>
      <c r="G1577" s="773"/>
      <c r="H1577" s="774"/>
      <c r="I1577" s="774"/>
      <c r="J1577" s="752">
        <f>IF(D1573=0,0,D1573/D1576)</f>
        <v>210307.76485714284</v>
      </c>
      <c r="K1577" s="730"/>
      <c r="L1577" s="730" t="s">
        <v>158</v>
      </c>
      <c r="M1577" s="730"/>
      <c r="N1577" s="730"/>
      <c r="O1577" s="730"/>
      <c r="P1577" s="426"/>
    </row>
    <row r="1578" spans="2:16" ht="38.25">
      <c r="B1578" s="845"/>
      <c r="C1578" s="775" t="s">
        <v>67</v>
      </c>
      <c r="D1578" s="776" t="s">
        <v>78</v>
      </c>
      <c r="E1578" s="777" t="s">
        <v>79</v>
      </c>
      <c r="F1578" s="776" t="s">
        <v>80</v>
      </c>
      <c r="G1578" s="776" t="s">
        <v>238</v>
      </c>
      <c r="H1578" s="777" t="s">
        <v>151</v>
      </c>
      <c r="I1578" s="778" t="s">
        <v>151</v>
      </c>
      <c r="J1578" s="775" t="s">
        <v>90</v>
      </c>
      <c r="K1578" s="779"/>
      <c r="L1578" s="777" t="s">
        <v>153</v>
      </c>
      <c r="M1578" s="777" t="s">
        <v>159</v>
      </c>
      <c r="N1578" s="777" t="s">
        <v>153</v>
      </c>
      <c r="O1578" s="777" t="s">
        <v>161</v>
      </c>
      <c r="P1578" s="777" t="s">
        <v>81</v>
      </c>
    </row>
    <row r="1579" spans="2:16" ht="13.5" thickBot="1">
      <c r="C1579" s="781" t="s">
        <v>469</v>
      </c>
      <c r="D1579" s="782" t="s">
        <v>470</v>
      </c>
      <c r="E1579" s="781" t="s">
        <v>363</v>
      </c>
      <c r="F1579" s="782" t="s">
        <v>470</v>
      </c>
      <c r="G1579" s="782" t="s">
        <v>470</v>
      </c>
      <c r="H1579" s="783" t="s">
        <v>93</v>
      </c>
      <c r="I1579" s="784" t="s">
        <v>95</v>
      </c>
      <c r="J1579" s="785" t="s">
        <v>15</v>
      </c>
      <c r="K1579" s="786"/>
      <c r="L1579" s="783" t="s">
        <v>82</v>
      </c>
      <c r="M1579" s="783" t="s">
        <v>82</v>
      </c>
      <c r="N1579" s="783" t="s">
        <v>255</v>
      </c>
      <c r="O1579" s="783" t="s">
        <v>255</v>
      </c>
      <c r="P1579" s="783" t="s">
        <v>255</v>
      </c>
    </row>
    <row r="1580" spans="2:16">
      <c r="C1580" s="788">
        <f>IF(D1574= "","-",D1574)</f>
        <v>2015</v>
      </c>
      <c r="D1580" s="736">
        <f>+D1573</f>
        <v>7360771.7699999996</v>
      </c>
      <c r="E1580" s="794">
        <f>+J1577/12*(12-D1575)</f>
        <v>0</v>
      </c>
      <c r="F1580" s="843">
        <f t="shared" ref="F1580:F1639" si="141">+D1580-E1580</f>
        <v>7360771.7699999996</v>
      </c>
      <c r="G1580" s="736">
        <f>+(D1580+F1580)/2</f>
        <v>7360771.7699999996</v>
      </c>
      <c r="H1580" s="790">
        <f>+J1575*G1580+E1580</f>
        <v>1063659.730486956</v>
      </c>
      <c r="I1580" s="791">
        <f>+J1576*G1580+E1580</f>
        <v>1063659.730486956</v>
      </c>
      <c r="J1580" s="792">
        <f>+I1580-H1580</f>
        <v>0</v>
      </c>
      <c r="K1580" s="792"/>
      <c r="L1580" s="811">
        <v>714472</v>
      </c>
      <c r="M1580" s="844">
        <f t="shared" ref="M1580:M1639" si="142">IF(L1580&lt;&gt;0,+H1580-L1580,0)</f>
        <v>349187.73048695596</v>
      </c>
      <c r="N1580" s="811">
        <v>714472</v>
      </c>
      <c r="O1580" s="844">
        <f t="shared" ref="O1580:O1639" si="143">IF(N1580&lt;&gt;0,+I1580-N1580,0)</f>
        <v>349187.73048695596</v>
      </c>
      <c r="P1580" s="844">
        <f t="shared" ref="P1580:P1639" si="144">+O1580-M1580</f>
        <v>0</v>
      </c>
    </row>
    <row r="1581" spans="2:16">
      <c r="C1581" s="788">
        <f>IF(D1574="","-",+C1580+1)</f>
        <v>2016</v>
      </c>
      <c r="D1581" s="736">
        <f t="shared" ref="D1581:D1639" si="145">F1580</f>
        <v>7360771.7699999996</v>
      </c>
      <c r="E1581" s="789">
        <f>IF(D1581&gt;$J$1577,$J$1577,D1581)</f>
        <v>210307.76485714284</v>
      </c>
      <c r="F1581" s="789">
        <f t="shared" si="141"/>
        <v>7150464.0051428564</v>
      </c>
      <c r="G1581" s="736">
        <f t="shared" ref="G1581:G1639" si="146">+(D1581+F1581)/2</f>
        <v>7255617.887571428</v>
      </c>
      <c r="H1581" s="794">
        <f>+J1575*G1581+E1581</f>
        <v>1258772.3563371424</v>
      </c>
      <c r="I1581" s="795">
        <f>+J1576*G1581+E1581</f>
        <v>1258772.3563371424</v>
      </c>
      <c r="J1581" s="792">
        <f>+I1581-H1581</f>
        <v>0</v>
      </c>
      <c r="K1581" s="792"/>
      <c r="L1581" s="812">
        <v>1030854</v>
      </c>
      <c r="M1581" s="792">
        <f t="shared" si="142"/>
        <v>227918.35633714241</v>
      </c>
      <c r="N1581" s="812">
        <v>1030854</v>
      </c>
      <c r="O1581" s="792">
        <f t="shared" si="143"/>
        <v>227918.35633714241</v>
      </c>
      <c r="P1581" s="792">
        <f t="shared" si="144"/>
        <v>0</v>
      </c>
    </row>
    <row r="1582" spans="2:16">
      <c r="C1582" s="788">
        <f>IF(D1574="","-",+C1581+1)</f>
        <v>2017</v>
      </c>
      <c r="D1582" s="736">
        <f t="shared" si="145"/>
        <v>7150464.0051428564</v>
      </c>
      <c r="E1582" s="789">
        <f t="shared" ref="E1582:E1636" si="147">IF(D1582&gt;$J$1577,$J$1577,D1582)</f>
        <v>210307.76485714284</v>
      </c>
      <c r="F1582" s="789">
        <f t="shared" si="141"/>
        <v>6940156.2402857132</v>
      </c>
      <c r="G1582" s="736">
        <f t="shared" si="146"/>
        <v>7045310.1227142848</v>
      </c>
      <c r="H1582" s="794">
        <f>+J1575*G1582+E1582</f>
        <v>1228382.0783232292</v>
      </c>
      <c r="I1582" s="795">
        <f>+J1576*G1582+E1582</f>
        <v>1228382.0783232292</v>
      </c>
      <c r="J1582" s="792">
        <f t="shared" ref="J1582:J1639" si="148">+I1582-H1582</f>
        <v>0</v>
      </c>
      <c r="K1582" s="792"/>
      <c r="L1582" s="812">
        <v>1310546</v>
      </c>
      <c r="M1582" s="792">
        <f t="shared" si="142"/>
        <v>-82163.921676770784</v>
      </c>
      <c r="N1582" s="812">
        <v>1310546</v>
      </c>
      <c r="O1582" s="792">
        <f t="shared" si="143"/>
        <v>-82163.921676770784</v>
      </c>
      <c r="P1582" s="792">
        <f t="shared" si="144"/>
        <v>0</v>
      </c>
    </row>
    <row r="1583" spans="2:16">
      <c r="C1583" s="788">
        <f>IF(D1574="","-",+C1582+1)</f>
        <v>2018</v>
      </c>
      <c r="D1583" s="1402">
        <f t="shared" si="145"/>
        <v>6940156.2402857132</v>
      </c>
      <c r="E1583" s="789">
        <f t="shared" si="147"/>
        <v>210307.76485714284</v>
      </c>
      <c r="F1583" s="789">
        <f t="shared" si="141"/>
        <v>6729848.4754285701</v>
      </c>
      <c r="G1583" s="736">
        <f t="shared" si="146"/>
        <v>6835002.3578571416</v>
      </c>
      <c r="H1583" s="794">
        <f>+J1575*G1583+E1583</f>
        <v>1197991.8003093163</v>
      </c>
      <c r="I1583" s="795">
        <f>+J1576*G1583+E1583</f>
        <v>1197991.8003093163</v>
      </c>
      <c r="J1583" s="792">
        <f t="shared" si="148"/>
        <v>0</v>
      </c>
      <c r="K1583" s="792"/>
      <c r="L1583" s="812">
        <v>1148932</v>
      </c>
      <c r="M1583" s="792">
        <f t="shared" si="142"/>
        <v>49059.800309316255</v>
      </c>
      <c r="N1583" s="812">
        <v>1148932</v>
      </c>
      <c r="O1583" s="792">
        <f t="shared" si="143"/>
        <v>49059.800309316255</v>
      </c>
      <c r="P1583" s="792">
        <f t="shared" si="144"/>
        <v>0</v>
      </c>
    </row>
    <row r="1584" spans="2:16">
      <c r="C1584" s="788">
        <f>IF(D1574="","-",+C1583+1)</f>
        <v>2019</v>
      </c>
      <c r="D1584" s="1321">
        <f t="shared" si="145"/>
        <v>6729848.4754285701</v>
      </c>
      <c r="E1584" s="789">
        <f t="shared" si="147"/>
        <v>210307.76485714284</v>
      </c>
      <c r="F1584" s="789">
        <f t="shared" si="141"/>
        <v>6519540.7105714269</v>
      </c>
      <c r="G1584" s="736">
        <f t="shared" si="146"/>
        <v>6624694.5929999985</v>
      </c>
      <c r="H1584" s="794">
        <f>+J1575*G1584+E1584</f>
        <v>1167601.5222954031</v>
      </c>
      <c r="I1584" s="795">
        <f>+J1576*G1584+E1584</f>
        <v>1167601.5222954031</v>
      </c>
      <c r="J1584" s="792">
        <f t="shared" si="148"/>
        <v>0</v>
      </c>
      <c r="K1584" s="792"/>
      <c r="L1584" s="812">
        <v>1177104.8816136313</v>
      </c>
      <c r="M1584" s="792">
        <f t="shared" si="142"/>
        <v>-9503.3593182282057</v>
      </c>
      <c r="N1584" s="812">
        <v>1177104.8816136313</v>
      </c>
      <c r="O1584" s="792">
        <f t="shared" si="143"/>
        <v>-9503.3593182282057</v>
      </c>
      <c r="P1584" s="792">
        <f t="shared" si="144"/>
        <v>0</v>
      </c>
    </row>
    <row r="1585" spans="3:16">
      <c r="C1585" s="788">
        <f>IF(D1574="","-",+C1584+1)</f>
        <v>2020</v>
      </c>
      <c r="D1585" s="1321">
        <f t="shared" si="145"/>
        <v>6519540.7105714269</v>
      </c>
      <c r="E1585" s="789">
        <f t="shared" si="147"/>
        <v>210307.76485714284</v>
      </c>
      <c r="F1585" s="789">
        <f t="shared" si="141"/>
        <v>6309232.9457142837</v>
      </c>
      <c r="G1585" s="736">
        <f t="shared" si="146"/>
        <v>6414386.8281428553</v>
      </c>
      <c r="H1585" s="794">
        <f>+J1575*G1585+E1585</f>
        <v>1137211.2442814901</v>
      </c>
      <c r="I1585" s="795">
        <f>+J1576*G1585+E1585</f>
        <v>1137211.2442814901</v>
      </c>
      <c r="J1585" s="792">
        <f t="shared" si="148"/>
        <v>0</v>
      </c>
      <c r="K1585" s="792"/>
      <c r="L1585" s="812">
        <v>1235701.1740818801</v>
      </c>
      <c r="M1585" s="792">
        <f t="shared" si="142"/>
        <v>-98489.929800390033</v>
      </c>
      <c r="N1585" s="812">
        <v>1235701.1740818801</v>
      </c>
      <c r="O1585" s="792">
        <f t="shared" si="143"/>
        <v>-98489.929800390033</v>
      </c>
      <c r="P1585" s="792">
        <f t="shared" si="144"/>
        <v>0</v>
      </c>
    </row>
    <row r="1586" spans="3:16">
      <c r="C1586" s="788">
        <f>IF(D1574="","-",+C1585+1)</f>
        <v>2021</v>
      </c>
      <c r="D1586" s="1321">
        <f t="shared" si="145"/>
        <v>6309232.9457142837</v>
      </c>
      <c r="E1586" s="789">
        <f t="shared" si="147"/>
        <v>210307.76485714284</v>
      </c>
      <c r="F1586" s="789">
        <f t="shared" si="141"/>
        <v>6098925.1808571406</v>
      </c>
      <c r="G1586" s="736">
        <f t="shared" si="146"/>
        <v>6204079.0632857122</v>
      </c>
      <c r="H1586" s="794">
        <f>+J1575*G1586+E1586</f>
        <v>1106820.9662675769</v>
      </c>
      <c r="I1586" s="795">
        <f>+J1576*G1586+E1586</f>
        <v>1106820.9662675769</v>
      </c>
      <c r="J1586" s="792">
        <f t="shared" si="148"/>
        <v>0</v>
      </c>
      <c r="K1586" s="792"/>
      <c r="L1586" s="812">
        <v>1119347.2018189959</v>
      </c>
      <c r="M1586" s="792">
        <f t="shared" si="142"/>
        <v>-12526.235551418969</v>
      </c>
      <c r="N1586" s="812">
        <v>1119347.2018189959</v>
      </c>
      <c r="O1586" s="792">
        <f t="shared" si="143"/>
        <v>-12526.235551418969</v>
      </c>
      <c r="P1586" s="792">
        <f t="shared" si="144"/>
        <v>0</v>
      </c>
    </row>
    <row r="1587" spans="3:16">
      <c r="C1587" s="788">
        <f>IF(D1574="","-",+C1586+1)</f>
        <v>2022</v>
      </c>
      <c r="D1587" s="1321">
        <f t="shared" si="145"/>
        <v>6098925.1808571406</v>
      </c>
      <c r="E1587" s="789">
        <f t="shared" si="147"/>
        <v>210307.76485714284</v>
      </c>
      <c r="F1587" s="789">
        <f t="shared" si="141"/>
        <v>5888617.4159999974</v>
      </c>
      <c r="G1587" s="736">
        <f t="shared" si="146"/>
        <v>5993771.298428569</v>
      </c>
      <c r="H1587" s="794">
        <f>+J1575*G1587+E1587</f>
        <v>1076430.6882536639</v>
      </c>
      <c r="I1587" s="795">
        <f>+J1576*G1587+E1587</f>
        <v>1076430.6882536639</v>
      </c>
      <c r="J1587" s="792">
        <f t="shared" si="148"/>
        <v>0</v>
      </c>
      <c r="K1587" s="792"/>
      <c r="L1587" s="812">
        <v>1119410.2337898356</v>
      </c>
      <c r="M1587" s="792">
        <f t="shared" si="142"/>
        <v>-42979.545536171645</v>
      </c>
      <c r="N1587" s="812">
        <v>1119410.2337898356</v>
      </c>
      <c r="O1587" s="792">
        <f t="shared" si="143"/>
        <v>-42979.545536171645</v>
      </c>
      <c r="P1587" s="792">
        <f t="shared" si="144"/>
        <v>0</v>
      </c>
    </row>
    <row r="1588" spans="3:16">
      <c r="C1588" s="788">
        <f>IF(D1574="","-",+C1587+1)</f>
        <v>2023</v>
      </c>
      <c r="D1588" s="736">
        <f t="shared" si="145"/>
        <v>5888617.4159999974</v>
      </c>
      <c r="E1588" s="789">
        <f t="shared" si="147"/>
        <v>210307.76485714284</v>
      </c>
      <c r="F1588" s="789">
        <f t="shared" si="141"/>
        <v>5678309.6511428542</v>
      </c>
      <c r="G1588" s="736">
        <f t="shared" si="146"/>
        <v>5783463.5335714258</v>
      </c>
      <c r="H1588" s="794">
        <f>+J1575*G1588+E1588</f>
        <v>1046040.4102397508</v>
      </c>
      <c r="I1588" s="795">
        <f>+J1576*G1588+E1588</f>
        <v>1046040.4102397508</v>
      </c>
      <c r="J1588" s="792">
        <f t="shared" si="148"/>
        <v>0</v>
      </c>
      <c r="K1588" s="792"/>
      <c r="L1588" s="812">
        <v>1092701.1742280044</v>
      </c>
      <c r="M1588" s="792">
        <f t="shared" si="142"/>
        <v>-46660.763988253661</v>
      </c>
      <c r="N1588" s="812">
        <v>1092701.1742280044</v>
      </c>
      <c r="O1588" s="792">
        <f t="shared" si="143"/>
        <v>-46660.763988253661</v>
      </c>
      <c r="P1588" s="792">
        <f t="shared" si="144"/>
        <v>0</v>
      </c>
    </row>
    <row r="1589" spans="3:16">
      <c r="C1589" s="788">
        <f>IF(D1574="","-",+C1588+1)</f>
        <v>2024</v>
      </c>
      <c r="D1589" s="736">
        <f t="shared" si="145"/>
        <v>5678309.6511428542</v>
      </c>
      <c r="E1589" s="789">
        <f t="shared" si="147"/>
        <v>210307.76485714284</v>
      </c>
      <c r="F1589" s="789">
        <f t="shared" si="141"/>
        <v>5468001.8862857111</v>
      </c>
      <c r="G1589" s="736">
        <f t="shared" si="146"/>
        <v>5573155.7687142827</v>
      </c>
      <c r="H1589" s="794">
        <f>+J1575*G1589+E1589</f>
        <v>1015650.1322258377</v>
      </c>
      <c r="I1589" s="795">
        <f>+J1576*G1589+E1589</f>
        <v>1015650.1322258377</v>
      </c>
      <c r="J1589" s="792">
        <f t="shared" si="148"/>
        <v>0</v>
      </c>
      <c r="K1589" s="792"/>
      <c r="L1589" s="812"/>
      <c r="M1589" s="792">
        <f t="shared" si="142"/>
        <v>0</v>
      </c>
      <c r="N1589" s="812"/>
      <c r="O1589" s="792">
        <f t="shared" si="143"/>
        <v>0</v>
      </c>
      <c r="P1589" s="792">
        <f t="shared" si="144"/>
        <v>0</v>
      </c>
    </row>
    <row r="1590" spans="3:16">
      <c r="C1590" s="788">
        <f>IF(D1574="","-",+C1589+1)</f>
        <v>2025</v>
      </c>
      <c r="D1590" s="736">
        <f t="shared" si="145"/>
        <v>5468001.8862857111</v>
      </c>
      <c r="E1590" s="789">
        <f t="shared" si="147"/>
        <v>210307.76485714284</v>
      </c>
      <c r="F1590" s="789">
        <f t="shared" si="141"/>
        <v>5257694.1214285679</v>
      </c>
      <c r="G1590" s="736">
        <f t="shared" si="146"/>
        <v>5362848.0038571395</v>
      </c>
      <c r="H1590" s="794">
        <f>+J1575*G1590+E1590</f>
        <v>985259.8542119246</v>
      </c>
      <c r="I1590" s="795">
        <f>+J1576*G1590+E1590</f>
        <v>985259.8542119246</v>
      </c>
      <c r="J1590" s="792">
        <f t="shared" si="148"/>
        <v>0</v>
      </c>
      <c r="K1590" s="792"/>
      <c r="L1590" s="812"/>
      <c r="M1590" s="792">
        <f t="shared" si="142"/>
        <v>0</v>
      </c>
      <c r="N1590" s="812"/>
      <c r="O1590" s="792">
        <f t="shared" si="143"/>
        <v>0</v>
      </c>
      <c r="P1590" s="792">
        <f t="shared" si="144"/>
        <v>0</v>
      </c>
    </row>
    <row r="1591" spans="3:16">
      <c r="C1591" s="788">
        <f>IF(D1574="","-",+C1590+1)</f>
        <v>2026</v>
      </c>
      <c r="D1591" s="736">
        <f t="shared" si="145"/>
        <v>5257694.1214285679</v>
      </c>
      <c r="E1591" s="789">
        <f t="shared" si="147"/>
        <v>210307.76485714284</v>
      </c>
      <c r="F1591" s="789">
        <f t="shared" si="141"/>
        <v>5047386.3565714248</v>
      </c>
      <c r="G1591" s="736">
        <f t="shared" si="146"/>
        <v>5152540.2389999963</v>
      </c>
      <c r="H1591" s="794">
        <f>+J1575*G1591+E1591</f>
        <v>954869.57619801152</v>
      </c>
      <c r="I1591" s="795">
        <f>+J1576*G1591+E1591</f>
        <v>954869.57619801152</v>
      </c>
      <c r="J1591" s="792">
        <f t="shared" si="148"/>
        <v>0</v>
      </c>
      <c r="K1591" s="792"/>
      <c r="L1591" s="812"/>
      <c r="M1591" s="792">
        <f t="shared" si="142"/>
        <v>0</v>
      </c>
      <c r="N1591" s="812"/>
      <c r="O1591" s="792">
        <f t="shared" si="143"/>
        <v>0</v>
      </c>
      <c r="P1591" s="792">
        <f t="shared" si="144"/>
        <v>0</v>
      </c>
    </row>
    <row r="1592" spans="3:16">
      <c r="C1592" s="788">
        <f>IF(D1574="","-",+C1591+1)</f>
        <v>2027</v>
      </c>
      <c r="D1592" s="736">
        <f t="shared" si="145"/>
        <v>5047386.3565714248</v>
      </c>
      <c r="E1592" s="789">
        <f t="shared" si="147"/>
        <v>210307.76485714284</v>
      </c>
      <c r="F1592" s="789">
        <f t="shared" si="141"/>
        <v>4837078.5917142816</v>
      </c>
      <c r="G1592" s="736">
        <f t="shared" si="146"/>
        <v>4942232.4741428532</v>
      </c>
      <c r="H1592" s="794">
        <f>+J1575*G1592+E1592</f>
        <v>924479.29818409844</v>
      </c>
      <c r="I1592" s="795">
        <f>+J1576*G1592+E1592</f>
        <v>924479.29818409844</v>
      </c>
      <c r="J1592" s="792">
        <f t="shared" si="148"/>
        <v>0</v>
      </c>
      <c r="K1592" s="792"/>
      <c r="L1592" s="812"/>
      <c r="M1592" s="792">
        <f t="shared" si="142"/>
        <v>0</v>
      </c>
      <c r="N1592" s="812"/>
      <c r="O1592" s="792">
        <f t="shared" si="143"/>
        <v>0</v>
      </c>
      <c r="P1592" s="792">
        <f t="shared" si="144"/>
        <v>0</v>
      </c>
    </row>
    <row r="1593" spans="3:16">
      <c r="C1593" s="788">
        <f>IF(D1574="","-",+C1592+1)</f>
        <v>2028</v>
      </c>
      <c r="D1593" s="736">
        <f t="shared" si="145"/>
        <v>4837078.5917142816</v>
      </c>
      <c r="E1593" s="789">
        <f t="shared" si="147"/>
        <v>210307.76485714284</v>
      </c>
      <c r="F1593" s="789">
        <f t="shared" si="141"/>
        <v>4626770.8268571384</v>
      </c>
      <c r="G1593" s="736">
        <f t="shared" si="146"/>
        <v>4731924.70928571</v>
      </c>
      <c r="H1593" s="794">
        <f>+J1575*G1593+E1593</f>
        <v>894089.02017018537</v>
      </c>
      <c r="I1593" s="795">
        <f>+J1576*G1593+E1593</f>
        <v>894089.02017018537</v>
      </c>
      <c r="J1593" s="792">
        <f t="shared" si="148"/>
        <v>0</v>
      </c>
      <c r="K1593" s="792"/>
      <c r="L1593" s="812"/>
      <c r="M1593" s="792">
        <f t="shared" si="142"/>
        <v>0</v>
      </c>
      <c r="N1593" s="812"/>
      <c r="O1593" s="792">
        <f t="shared" si="143"/>
        <v>0</v>
      </c>
      <c r="P1593" s="792">
        <f t="shared" si="144"/>
        <v>0</v>
      </c>
    </row>
    <row r="1594" spans="3:16">
      <c r="C1594" s="788">
        <f>IF(D1574="","-",+C1593+1)</f>
        <v>2029</v>
      </c>
      <c r="D1594" s="736">
        <f t="shared" si="145"/>
        <v>4626770.8268571384</v>
      </c>
      <c r="E1594" s="789">
        <f t="shared" si="147"/>
        <v>210307.76485714284</v>
      </c>
      <c r="F1594" s="789">
        <f t="shared" si="141"/>
        <v>4416463.0619999953</v>
      </c>
      <c r="G1594" s="736">
        <f t="shared" si="146"/>
        <v>4521616.9444285668</v>
      </c>
      <c r="H1594" s="794">
        <f>+J1575*G1594+E1594</f>
        <v>863698.74215627229</v>
      </c>
      <c r="I1594" s="795">
        <f>+J1576*G1594+E1594</f>
        <v>863698.74215627229</v>
      </c>
      <c r="J1594" s="792">
        <f t="shared" si="148"/>
        <v>0</v>
      </c>
      <c r="K1594" s="792"/>
      <c r="L1594" s="812"/>
      <c r="M1594" s="792">
        <f t="shared" si="142"/>
        <v>0</v>
      </c>
      <c r="N1594" s="812"/>
      <c r="O1594" s="792">
        <f t="shared" si="143"/>
        <v>0</v>
      </c>
      <c r="P1594" s="792">
        <f t="shared" si="144"/>
        <v>0</v>
      </c>
    </row>
    <row r="1595" spans="3:16">
      <c r="C1595" s="788">
        <f>IF(D1574="","-",+C1594+1)</f>
        <v>2030</v>
      </c>
      <c r="D1595" s="736">
        <f t="shared" si="145"/>
        <v>4416463.0619999953</v>
      </c>
      <c r="E1595" s="789">
        <f t="shared" si="147"/>
        <v>210307.76485714284</v>
      </c>
      <c r="F1595" s="789">
        <f t="shared" si="141"/>
        <v>4206155.2971428521</v>
      </c>
      <c r="G1595" s="736">
        <f t="shared" si="146"/>
        <v>4311309.1795714237</v>
      </c>
      <c r="H1595" s="794">
        <f>+J1575*G1595+E1595</f>
        <v>833308.46414235921</v>
      </c>
      <c r="I1595" s="795">
        <f>+J1576*G1595+E1595</f>
        <v>833308.46414235921</v>
      </c>
      <c r="J1595" s="792">
        <f t="shared" si="148"/>
        <v>0</v>
      </c>
      <c r="K1595" s="792"/>
      <c r="L1595" s="812"/>
      <c r="M1595" s="792">
        <f t="shared" si="142"/>
        <v>0</v>
      </c>
      <c r="N1595" s="812"/>
      <c r="O1595" s="792">
        <f t="shared" si="143"/>
        <v>0</v>
      </c>
      <c r="P1595" s="792">
        <f t="shared" si="144"/>
        <v>0</v>
      </c>
    </row>
    <row r="1596" spans="3:16">
      <c r="C1596" s="788">
        <f>IF(D1574="","-",+C1595+1)</f>
        <v>2031</v>
      </c>
      <c r="D1596" s="736">
        <f t="shared" si="145"/>
        <v>4206155.2971428521</v>
      </c>
      <c r="E1596" s="789">
        <f t="shared" si="147"/>
        <v>210307.76485714284</v>
      </c>
      <c r="F1596" s="789">
        <f t="shared" si="141"/>
        <v>3995847.5322857094</v>
      </c>
      <c r="G1596" s="736">
        <f t="shared" si="146"/>
        <v>4101001.4147142805</v>
      </c>
      <c r="H1596" s="794">
        <f>+J1575*G1596+E1596</f>
        <v>802918.18612844613</v>
      </c>
      <c r="I1596" s="795">
        <f>+J1576*G1596+E1596</f>
        <v>802918.18612844613</v>
      </c>
      <c r="J1596" s="792">
        <f t="shared" si="148"/>
        <v>0</v>
      </c>
      <c r="K1596" s="792"/>
      <c r="L1596" s="812"/>
      <c r="M1596" s="792">
        <f t="shared" si="142"/>
        <v>0</v>
      </c>
      <c r="N1596" s="812"/>
      <c r="O1596" s="792">
        <f t="shared" si="143"/>
        <v>0</v>
      </c>
      <c r="P1596" s="792">
        <f t="shared" si="144"/>
        <v>0</v>
      </c>
    </row>
    <row r="1597" spans="3:16">
      <c r="C1597" s="788">
        <f>IF(D1574="","-",+C1596+1)</f>
        <v>2032</v>
      </c>
      <c r="D1597" s="736">
        <f t="shared" si="145"/>
        <v>3995847.5322857094</v>
      </c>
      <c r="E1597" s="789">
        <f t="shared" si="147"/>
        <v>210307.76485714284</v>
      </c>
      <c r="F1597" s="789">
        <f t="shared" si="141"/>
        <v>3785539.7674285667</v>
      </c>
      <c r="G1597" s="736">
        <f t="shared" si="146"/>
        <v>3890693.6498571383</v>
      </c>
      <c r="H1597" s="794">
        <f>+J1575*G1597+E1597</f>
        <v>772527.90811453317</v>
      </c>
      <c r="I1597" s="795">
        <f>+J1576*G1597+E1597</f>
        <v>772527.90811453317</v>
      </c>
      <c r="J1597" s="792">
        <f t="shared" si="148"/>
        <v>0</v>
      </c>
      <c r="K1597" s="792"/>
      <c r="L1597" s="812"/>
      <c r="M1597" s="792">
        <f t="shared" si="142"/>
        <v>0</v>
      </c>
      <c r="N1597" s="812"/>
      <c r="O1597" s="792">
        <f t="shared" si="143"/>
        <v>0</v>
      </c>
      <c r="P1597" s="792">
        <f t="shared" si="144"/>
        <v>0</v>
      </c>
    </row>
    <row r="1598" spans="3:16">
      <c r="C1598" s="788">
        <f>IF(D1574="","-",+C1597+1)</f>
        <v>2033</v>
      </c>
      <c r="D1598" s="736">
        <f t="shared" si="145"/>
        <v>3785539.7674285667</v>
      </c>
      <c r="E1598" s="789">
        <f t="shared" si="147"/>
        <v>210307.76485714284</v>
      </c>
      <c r="F1598" s="789">
        <f t="shared" si="141"/>
        <v>3575232.002571424</v>
      </c>
      <c r="G1598" s="736">
        <f t="shared" si="146"/>
        <v>3680385.8849999951</v>
      </c>
      <c r="H1598" s="794">
        <f>+J1575*G1598+E1598</f>
        <v>742137.6301006201</v>
      </c>
      <c r="I1598" s="795">
        <f>+J1576*G1598+E1598</f>
        <v>742137.6301006201</v>
      </c>
      <c r="J1598" s="792">
        <f t="shared" si="148"/>
        <v>0</v>
      </c>
      <c r="K1598" s="792"/>
      <c r="L1598" s="812"/>
      <c r="M1598" s="792">
        <f t="shared" si="142"/>
        <v>0</v>
      </c>
      <c r="N1598" s="812"/>
      <c r="O1598" s="792">
        <f t="shared" si="143"/>
        <v>0</v>
      </c>
      <c r="P1598" s="792">
        <f t="shared" si="144"/>
        <v>0</v>
      </c>
    </row>
    <row r="1599" spans="3:16">
      <c r="C1599" s="788">
        <f>IF(D1574="","-",+C1598+1)</f>
        <v>2034</v>
      </c>
      <c r="D1599" s="736">
        <f t="shared" si="145"/>
        <v>3575232.002571424</v>
      </c>
      <c r="E1599" s="789">
        <f t="shared" si="147"/>
        <v>210307.76485714284</v>
      </c>
      <c r="F1599" s="789">
        <f t="shared" si="141"/>
        <v>3364924.2377142813</v>
      </c>
      <c r="G1599" s="736">
        <f t="shared" si="146"/>
        <v>3470078.1201428529</v>
      </c>
      <c r="H1599" s="794">
        <f>+J1575*G1599+E1599</f>
        <v>711747.35208670725</v>
      </c>
      <c r="I1599" s="795">
        <f>+J1576*G1599+E1599</f>
        <v>711747.35208670725</v>
      </c>
      <c r="J1599" s="792">
        <f t="shared" si="148"/>
        <v>0</v>
      </c>
      <c r="K1599" s="792"/>
      <c r="L1599" s="812"/>
      <c r="M1599" s="792">
        <f t="shared" si="142"/>
        <v>0</v>
      </c>
      <c r="N1599" s="812"/>
      <c r="O1599" s="792">
        <f t="shared" si="143"/>
        <v>0</v>
      </c>
      <c r="P1599" s="792">
        <f t="shared" si="144"/>
        <v>0</v>
      </c>
    </row>
    <row r="1600" spans="3:16">
      <c r="C1600" s="788">
        <f>IF(D1574="","-",+C1599+1)</f>
        <v>2035</v>
      </c>
      <c r="D1600" s="736">
        <f t="shared" si="145"/>
        <v>3364924.2377142813</v>
      </c>
      <c r="E1600" s="789">
        <f t="shared" si="147"/>
        <v>210307.76485714284</v>
      </c>
      <c r="F1600" s="789">
        <f t="shared" si="141"/>
        <v>3154616.4728571386</v>
      </c>
      <c r="G1600" s="736">
        <f t="shared" si="146"/>
        <v>3259770.3552857097</v>
      </c>
      <c r="H1600" s="794">
        <f>+J1575*G1600+E1600</f>
        <v>681357.07407279417</v>
      </c>
      <c r="I1600" s="795">
        <f>+J1576*G1600+E1600</f>
        <v>681357.07407279417</v>
      </c>
      <c r="J1600" s="792">
        <f t="shared" si="148"/>
        <v>0</v>
      </c>
      <c r="K1600" s="792"/>
      <c r="L1600" s="812"/>
      <c r="M1600" s="792">
        <f t="shared" si="142"/>
        <v>0</v>
      </c>
      <c r="N1600" s="812"/>
      <c r="O1600" s="792">
        <f t="shared" si="143"/>
        <v>0</v>
      </c>
      <c r="P1600" s="792">
        <f t="shared" si="144"/>
        <v>0</v>
      </c>
    </row>
    <row r="1601" spans="3:16">
      <c r="C1601" s="788">
        <f>IF(D1574="","-",+C1600+1)</f>
        <v>2036</v>
      </c>
      <c r="D1601" s="736">
        <f t="shared" si="145"/>
        <v>3154616.4728571386</v>
      </c>
      <c r="E1601" s="789">
        <f t="shared" si="147"/>
        <v>210307.76485714284</v>
      </c>
      <c r="F1601" s="789">
        <f t="shared" si="141"/>
        <v>2944308.7079999959</v>
      </c>
      <c r="G1601" s="736">
        <f t="shared" si="146"/>
        <v>3049462.5904285675</v>
      </c>
      <c r="H1601" s="794">
        <f>+J1575*G1601+E1601</f>
        <v>650966.79605888121</v>
      </c>
      <c r="I1601" s="795">
        <f>+J1576*G1601+E1601</f>
        <v>650966.79605888121</v>
      </c>
      <c r="J1601" s="792">
        <f t="shared" si="148"/>
        <v>0</v>
      </c>
      <c r="K1601" s="792"/>
      <c r="L1601" s="812"/>
      <c r="M1601" s="792">
        <f t="shared" si="142"/>
        <v>0</v>
      </c>
      <c r="N1601" s="812"/>
      <c r="O1601" s="792">
        <f t="shared" si="143"/>
        <v>0</v>
      </c>
      <c r="P1601" s="792">
        <f t="shared" si="144"/>
        <v>0</v>
      </c>
    </row>
    <row r="1602" spans="3:16">
      <c r="C1602" s="788">
        <f>IF(D1574="","-",+C1601+1)</f>
        <v>2037</v>
      </c>
      <c r="D1602" s="736">
        <f t="shared" si="145"/>
        <v>2944308.7079999959</v>
      </c>
      <c r="E1602" s="789">
        <f t="shared" si="147"/>
        <v>210307.76485714284</v>
      </c>
      <c r="F1602" s="789">
        <f t="shared" si="141"/>
        <v>2734000.9431428532</v>
      </c>
      <c r="G1602" s="736">
        <f t="shared" si="146"/>
        <v>2839154.8255714243</v>
      </c>
      <c r="H1602" s="794">
        <f>+J1575*G1602+E1602</f>
        <v>620576.51804496814</v>
      </c>
      <c r="I1602" s="795">
        <f>+J1576*G1602+E1602</f>
        <v>620576.51804496814</v>
      </c>
      <c r="J1602" s="792">
        <f t="shared" si="148"/>
        <v>0</v>
      </c>
      <c r="K1602" s="792"/>
      <c r="L1602" s="812"/>
      <c r="M1602" s="792">
        <f t="shared" si="142"/>
        <v>0</v>
      </c>
      <c r="N1602" s="812"/>
      <c r="O1602" s="792">
        <f t="shared" si="143"/>
        <v>0</v>
      </c>
      <c r="P1602" s="792">
        <f t="shared" si="144"/>
        <v>0</v>
      </c>
    </row>
    <row r="1603" spans="3:16">
      <c r="C1603" s="788">
        <f>IF(D1574="","-",+C1602+1)</f>
        <v>2038</v>
      </c>
      <c r="D1603" s="736">
        <f t="shared" si="145"/>
        <v>2734000.9431428532</v>
      </c>
      <c r="E1603" s="789">
        <f t="shared" si="147"/>
        <v>210307.76485714284</v>
      </c>
      <c r="F1603" s="789">
        <f t="shared" si="141"/>
        <v>2523693.1782857105</v>
      </c>
      <c r="G1603" s="736">
        <f t="shared" si="146"/>
        <v>2628847.0607142821</v>
      </c>
      <c r="H1603" s="794">
        <f>+J1575*G1603+E1603</f>
        <v>590186.24003105517</v>
      </c>
      <c r="I1603" s="795">
        <f>+J1576*G1603+E1603</f>
        <v>590186.24003105517</v>
      </c>
      <c r="J1603" s="792">
        <f t="shared" si="148"/>
        <v>0</v>
      </c>
      <c r="K1603" s="792"/>
      <c r="L1603" s="812"/>
      <c r="M1603" s="792">
        <f t="shared" si="142"/>
        <v>0</v>
      </c>
      <c r="N1603" s="812"/>
      <c r="O1603" s="792">
        <f t="shared" si="143"/>
        <v>0</v>
      </c>
      <c r="P1603" s="792">
        <f t="shared" si="144"/>
        <v>0</v>
      </c>
    </row>
    <row r="1604" spans="3:16">
      <c r="C1604" s="788">
        <f>IF(D1574="","-",+C1603+1)</f>
        <v>2039</v>
      </c>
      <c r="D1604" s="736">
        <f t="shared" si="145"/>
        <v>2523693.1782857105</v>
      </c>
      <c r="E1604" s="789">
        <f t="shared" si="147"/>
        <v>210307.76485714284</v>
      </c>
      <c r="F1604" s="789">
        <f t="shared" si="141"/>
        <v>2313385.4134285678</v>
      </c>
      <c r="G1604" s="736">
        <f t="shared" si="146"/>
        <v>2418539.2958571389</v>
      </c>
      <c r="H1604" s="794">
        <f>+J1575*G1604+E1604</f>
        <v>559795.9620171421</v>
      </c>
      <c r="I1604" s="795">
        <f>+J1576*G1604+E1604</f>
        <v>559795.9620171421</v>
      </c>
      <c r="J1604" s="792">
        <f t="shared" si="148"/>
        <v>0</v>
      </c>
      <c r="K1604" s="792"/>
      <c r="L1604" s="812"/>
      <c r="M1604" s="792">
        <f t="shared" si="142"/>
        <v>0</v>
      </c>
      <c r="N1604" s="812"/>
      <c r="O1604" s="792">
        <f t="shared" si="143"/>
        <v>0</v>
      </c>
      <c r="P1604" s="792">
        <f t="shared" si="144"/>
        <v>0</v>
      </c>
    </row>
    <row r="1605" spans="3:16">
      <c r="C1605" s="788">
        <f>IF(D1574="","-",+C1604+1)</f>
        <v>2040</v>
      </c>
      <c r="D1605" s="736">
        <f t="shared" si="145"/>
        <v>2313385.4134285678</v>
      </c>
      <c r="E1605" s="789">
        <f t="shared" si="147"/>
        <v>210307.76485714284</v>
      </c>
      <c r="F1605" s="789">
        <f t="shared" si="141"/>
        <v>2103077.6485714251</v>
      </c>
      <c r="G1605" s="736">
        <f t="shared" si="146"/>
        <v>2208231.5309999967</v>
      </c>
      <c r="H1605" s="794">
        <f>+J1575*G1605+E1605</f>
        <v>529405.68400322914</v>
      </c>
      <c r="I1605" s="795">
        <f>+J1576*G1605+E1605</f>
        <v>529405.68400322914</v>
      </c>
      <c r="J1605" s="792">
        <f t="shared" si="148"/>
        <v>0</v>
      </c>
      <c r="K1605" s="792"/>
      <c r="L1605" s="812"/>
      <c r="M1605" s="792">
        <f t="shared" si="142"/>
        <v>0</v>
      </c>
      <c r="N1605" s="812"/>
      <c r="O1605" s="792">
        <f t="shared" si="143"/>
        <v>0</v>
      </c>
      <c r="P1605" s="792">
        <f t="shared" si="144"/>
        <v>0</v>
      </c>
    </row>
    <row r="1606" spans="3:16">
      <c r="C1606" s="788">
        <f>IF(D1574="","-",+C1605+1)</f>
        <v>2041</v>
      </c>
      <c r="D1606" s="736">
        <f t="shared" si="145"/>
        <v>2103077.6485714251</v>
      </c>
      <c r="E1606" s="789">
        <f t="shared" si="147"/>
        <v>210307.76485714284</v>
      </c>
      <c r="F1606" s="789">
        <f t="shared" si="141"/>
        <v>1892769.8837142822</v>
      </c>
      <c r="G1606" s="736">
        <f t="shared" si="146"/>
        <v>1997923.7661428535</v>
      </c>
      <c r="H1606" s="794">
        <f>+J1575*G1606+E1606</f>
        <v>499015.40598931606</v>
      </c>
      <c r="I1606" s="795">
        <f>+J1576*G1606+E1606</f>
        <v>499015.40598931606</v>
      </c>
      <c r="J1606" s="792">
        <f t="shared" si="148"/>
        <v>0</v>
      </c>
      <c r="K1606" s="792"/>
      <c r="L1606" s="812"/>
      <c r="M1606" s="792">
        <f t="shared" si="142"/>
        <v>0</v>
      </c>
      <c r="N1606" s="812"/>
      <c r="O1606" s="792">
        <f t="shared" si="143"/>
        <v>0</v>
      </c>
      <c r="P1606" s="792">
        <f t="shared" si="144"/>
        <v>0</v>
      </c>
    </row>
    <row r="1607" spans="3:16">
      <c r="C1607" s="788">
        <f>IF(D1574="","-",+C1606+1)</f>
        <v>2042</v>
      </c>
      <c r="D1607" s="736">
        <f t="shared" si="145"/>
        <v>1892769.8837142822</v>
      </c>
      <c r="E1607" s="789">
        <f t="shared" si="147"/>
        <v>210307.76485714284</v>
      </c>
      <c r="F1607" s="789">
        <f t="shared" si="141"/>
        <v>1682462.1188571393</v>
      </c>
      <c r="G1607" s="736">
        <f t="shared" si="146"/>
        <v>1787616.0012857108</v>
      </c>
      <c r="H1607" s="794">
        <f>+J1575*G1607+E1607</f>
        <v>468625.1279754031</v>
      </c>
      <c r="I1607" s="795">
        <f>+J1576*G1607+E1607</f>
        <v>468625.1279754031</v>
      </c>
      <c r="J1607" s="792">
        <f t="shared" si="148"/>
        <v>0</v>
      </c>
      <c r="K1607" s="792"/>
      <c r="L1607" s="812"/>
      <c r="M1607" s="792">
        <f t="shared" si="142"/>
        <v>0</v>
      </c>
      <c r="N1607" s="812"/>
      <c r="O1607" s="792">
        <f t="shared" si="143"/>
        <v>0</v>
      </c>
      <c r="P1607" s="792">
        <f t="shared" si="144"/>
        <v>0</v>
      </c>
    </row>
    <row r="1608" spans="3:16">
      <c r="C1608" s="788">
        <f>IF(D1574="","-",+C1607+1)</f>
        <v>2043</v>
      </c>
      <c r="D1608" s="736">
        <f t="shared" si="145"/>
        <v>1682462.1188571393</v>
      </c>
      <c r="E1608" s="789">
        <f t="shared" si="147"/>
        <v>210307.76485714284</v>
      </c>
      <c r="F1608" s="789">
        <f t="shared" si="141"/>
        <v>1472154.3539999963</v>
      </c>
      <c r="G1608" s="736">
        <f t="shared" si="146"/>
        <v>1577308.2364285677</v>
      </c>
      <c r="H1608" s="794">
        <f>+J1575*G1608+E1608</f>
        <v>438234.84996149002</v>
      </c>
      <c r="I1608" s="795">
        <f>+J1576*G1608+E1608</f>
        <v>438234.84996149002</v>
      </c>
      <c r="J1608" s="792">
        <f t="shared" si="148"/>
        <v>0</v>
      </c>
      <c r="K1608" s="792"/>
      <c r="L1608" s="812"/>
      <c r="M1608" s="792">
        <f t="shared" si="142"/>
        <v>0</v>
      </c>
      <c r="N1608" s="812"/>
      <c r="O1608" s="792">
        <f t="shared" si="143"/>
        <v>0</v>
      </c>
      <c r="P1608" s="792">
        <f t="shared" si="144"/>
        <v>0</v>
      </c>
    </row>
    <row r="1609" spans="3:16">
      <c r="C1609" s="788">
        <f>IF(D1574="","-",+C1608+1)</f>
        <v>2044</v>
      </c>
      <c r="D1609" s="736">
        <f t="shared" si="145"/>
        <v>1472154.3539999963</v>
      </c>
      <c r="E1609" s="789">
        <f t="shared" si="147"/>
        <v>210307.76485714284</v>
      </c>
      <c r="F1609" s="789">
        <f t="shared" si="141"/>
        <v>1261846.5891428534</v>
      </c>
      <c r="G1609" s="736">
        <f t="shared" si="146"/>
        <v>1367000.471571425</v>
      </c>
      <c r="H1609" s="794">
        <f>+J1575*G1609+E1609</f>
        <v>407844.57194757706</v>
      </c>
      <c r="I1609" s="795">
        <f>+J1576*G1609+E1609</f>
        <v>407844.57194757706</v>
      </c>
      <c r="J1609" s="792">
        <f t="shared" si="148"/>
        <v>0</v>
      </c>
      <c r="K1609" s="792"/>
      <c r="L1609" s="812"/>
      <c r="M1609" s="792">
        <f t="shared" si="142"/>
        <v>0</v>
      </c>
      <c r="N1609" s="812"/>
      <c r="O1609" s="792">
        <f t="shared" si="143"/>
        <v>0</v>
      </c>
      <c r="P1609" s="792">
        <f t="shared" si="144"/>
        <v>0</v>
      </c>
    </row>
    <row r="1610" spans="3:16">
      <c r="C1610" s="788">
        <f>IF(D1574="","-",+C1609+1)</f>
        <v>2045</v>
      </c>
      <c r="D1610" s="736">
        <f t="shared" si="145"/>
        <v>1261846.5891428534</v>
      </c>
      <c r="E1610" s="789">
        <f t="shared" si="147"/>
        <v>210307.76485714284</v>
      </c>
      <c r="F1610" s="789">
        <f t="shared" si="141"/>
        <v>1051538.8242857105</v>
      </c>
      <c r="G1610" s="736">
        <f t="shared" si="146"/>
        <v>1156692.7067142818</v>
      </c>
      <c r="H1610" s="794">
        <f>+J1575*G1610+E1610</f>
        <v>377454.29393366398</v>
      </c>
      <c r="I1610" s="795">
        <f>+J1576*G1610+E1610</f>
        <v>377454.29393366398</v>
      </c>
      <c r="J1610" s="792">
        <f t="shared" si="148"/>
        <v>0</v>
      </c>
      <c r="K1610" s="792"/>
      <c r="L1610" s="812"/>
      <c r="M1610" s="792">
        <f t="shared" si="142"/>
        <v>0</v>
      </c>
      <c r="N1610" s="812"/>
      <c r="O1610" s="792">
        <f t="shared" si="143"/>
        <v>0</v>
      </c>
      <c r="P1610" s="792">
        <f t="shared" si="144"/>
        <v>0</v>
      </c>
    </row>
    <row r="1611" spans="3:16">
      <c r="C1611" s="788">
        <f>IF(D1574="","-",+C1610+1)</f>
        <v>2046</v>
      </c>
      <c r="D1611" s="736">
        <f t="shared" si="145"/>
        <v>1051538.8242857105</v>
      </c>
      <c r="E1611" s="789">
        <f t="shared" si="147"/>
        <v>210307.76485714284</v>
      </c>
      <c r="F1611" s="789">
        <f t="shared" si="141"/>
        <v>841231.05942856765</v>
      </c>
      <c r="G1611" s="736">
        <f t="shared" si="146"/>
        <v>946384.94185713911</v>
      </c>
      <c r="H1611" s="794">
        <f>+J1575*G1611+E1611</f>
        <v>347064.01591975091</v>
      </c>
      <c r="I1611" s="795">
        <f>+J1576*G1611+E1611</f>
        <v>347064.01591975091</v>
      </c>
      <c r="J1611" s="792">
        <f t="shared" si="148"/>
        <v>0</v>
      </c>
      <c r="K1611" s="792"/>
      <c r="L1611" s="812"/>
      <c r="M1611" s="792">
        <f t="shared" si="142"/>
        <v>0</v>
      </c>
      <c r="N1611" s="812"/>
      <c r="O1611" s="792">
        <f t="shared" si="143"/>
        <v>0</v>
      </c>
      <c r="P1611" s="792">
        <f t="shared" si="144"/>
        <v>0</v>
      </c>
    </row>
    <row r="1612" spans="3:16">
      <c r="C1612" s="788">
        <f>IF(D1574="","-",+C1611+1)</f>
        <v>2047</v>
      </c>
      <c r="D1612" s="736">
        <f t="shared" si="145"/>
        <v>841231.05942856765</v>
      </c>
      <c r="E1612" s="789">
        <f t="shared" si="147"/>
        <v>210307.76485714284</v>
      </c>
      <c r="F1612" s="789">
        <f t="shared" si="141"/>
        <v>630923.29457142483</v>
      </c>
      <c r="G1612" s="736">
        <f t="shared" si="146"/>
        <v>736077.17699999618</v>
      </c>
      <c r="H1612" s="794">
        <f>+J1575*G1612+E1612</f>
        <v>316673.73790583789</v>
      </c>
      <c r="I1612" s="795">
        <f>+J1576*G1612+E1612</f>
        <v>316673.73790583789</v>
      </c>
      <c r="J1612" s="792">
        <f t="shared" si="148"/>
        <v>0</v>
      </c>
      <c r="K1612" s="792"/>
      <c r="L1612" s="812"/>
      <c r="M1612" s="792">
        <f t="shared" si="142"/>
        <v>0</v>
      </c>
      <c r="N1612" s="812"/>
      <c r="O1612" s="792">
        <f t="shared" si="143"/>
        <v>0</v>
      </c>
      <c r="P1612" s="792">
        <f t="shared" si="144"/>
        <v>0</v>
      </c>
    </row>
    <row r="1613" spans="3:16">
      <c r="C1613" s="788">
        <f>IF(D1574="","-",+C1612+1)</f>
        <v>2048</v>
      </c>
      <c r="D1613" s="736">
        <f t="shared" si="145"/>
        <v>630923.29457142483</v>
      </c>
      <c r="E1613" s="789">
        <f t="shared" si="147"/>
        <v>210307.76485714284</v>
      </c>
      <c r="F1613" s="789">
        <f t="shared" si="141"/>
        <v>420615.52971428202</v>
      </c>
      <c r="G1613" s="736">
        <f t="shared" si="146"/>
        <v>525769.41214285349</v>
      </c>
      <c r="H1613" s="794">
        <f>+J1575*G1613+E1613</f>
        <v>286283.45989192487</v>
      </c>
      <c r="I1613" s="795">
        <f>+J1576*G1613+E1613</f>
        <v>286283.45989192487</v>
      </c>
      <c r="J1613" s="792">
        <f t="shared" si="148"/>
        <v>0</v>
      </c>
      <c r="K1613" s="792"/>
      <c r="L1613" s="812"/>
      <c r="M1613" s="792">
        <f t="shared" si="142"/>
        <v>0</v>
      </c>
      <c r="N1613" s="812"/>
      <c r="O1613" s="792">
        <f t="shared" si="143"/>
        <v>0</v>
      </c>
      <c r="P1613" s="792">
        <f t="shared" si="144"/>
        <v>0</v>
      </c>
    </row>
    <row r="1614" spans="3:16">
      <c r="C1614" s="788">
        <f>IF(D1574="","-",+C1613+1)</f>
        <v>2049</v>
      </c>
      <c r="D1614" s="736">
        <f t="shared" si="145"/>
        <v>420615.52971428202</v>
      </c>
      <c r="E1614" s="789">
        <f t="shared" si="147"/>
        <v>210307.76485714284</v>
      </c>
      <c r="F1614" s="789">
        <f t="shared" si="141"/>
        <v>210307.76485713918</v>
      </c>
      <c r="G1614" s="736">
        <f t="shared" si="146"/>
        <v>315461.64728571061</v>
      </c>
      <c r="H1614" s="794">
        <f>+J1575*G1614+E1614</f>
        <v>255893.18187801185</v>
      </c>
      <c r="I1614" s="795">
        <f>+J1576*G1614+E1614</f>
        <v>255893.18187801185</v>
      </c>
      <c r="J1614" s="792">
        <f t="shared" si="148"/>
        <v>0</v>
      </c>
      <c r="K1614" s="792"/>
      <c r="L1614" s="812"/>
      <c r="M1614" s="792">
        <f t="shared" si="142"/>
        <v>0</v>
      </c>
      <c r="N1614" s="812"/>
      <c r="O1614" s="792">
        <f t="shared" si="143"/>
        <v>0</v>
      </c>
      <c r="P1614" s="792">
        <f t="shared" si="144"/>
        <v>0</v>
      </c>
    </row>
    <row r="1615" spans="3:16">
      <c r="C1615" s="788">
        <f>IF(D1574="","-",+C1614+1)</f>
        <v>2050</v>
      </c>
      <c r="D1615" s="736">
        <f t="shared" si="145"/>
        <v>210307.76485713918</v>
      </c>
      <c r="E1615" s="789">
        <f t="shared" si="147"/>
        <v>210307.76485713918</v>
      </c>
      <c r="F1615" s="789">
        <f t="shared" si="141"/>
        <v>0</v>
      </c>
      <c r="G1615" s="736">
        <f t="shared" si="146"/>
        <v>105153.88242856959</v>
      </c>
      <c r="H1615" s="794">
        <f>+J1575*G1615+E1615</f>
        <v>225502.90386409542</v>
      </c>
      <c r="I1615" s="795">
        <f>+J1576*G1615+E1615</f>
        <v>225502.90386409542</v>
      </c>
      <c r="J1615" s="792">
        <f t="shared" si="148"/>
        <v>0</v>
      </c>
      <c r="K1615" s="792"/>
      <c r="L1615" s="812"/>
      <c r="M1615" s="792">
        <f t="shared" si="142"/>
        <v>0</v>
      </c>
      <c r="N1615" s="812"/>
      <c r="O1615" s="792">
        <f t="shared" si="143"/>
        <v>0</v>
      </c>
      <c r="P1615" s="792">
        <f t="shared" si="144"/>
        <v>0</v>
      </c>
    </row>
    <row r="1616" spans="3:16">
      <c r="C1616" s="788">
        <f>IF(D1574="","-",+C1615+1)</f>
        <v>2051</v>
      </c>
      <c r="D1616" s="736">
        <f t="shared" si="145"/>
        <v>0</v>
      </c>
      <c r="E1616" s="789">
        <f t="shared" si="147"/>
        <v>0</v>
      </c>
      <c r="F1616" s="789">
        <f t="shared" si="141"/>
        <v>0</v>
      </c>
      <c r="G1616" s="736">
        <f t="shared" si="146"/>
        <v>0</v>
      </c>
      <c r="H1616" s="794">
        <f>+J1575*G1616+E1616</f>
        <v>0</v>
      </c>
      <c r="I1616" s="795">
        <f>+J1576*G1616+E1616</f>
        <v>0</v>
      </c>
      <c r="J1616" s="792">
        <f t="shared" si="148"/>
        <v>0</v>
      </c>
      <c r="K1616" s="792"/>
      <c r="L1616" s="812"/>
      <c r="M1616" s="792">
        <f t="shared" si="142"/>
        <v>0</v>
      </c>
      <c r="N1616" s="812"/>
      <c r="O1616" s="792">
        <f t="shared" si="143"/>
        <v>0</v>
      </c>
      <c r="P1616" s="792">
        <f t="shared" si="144"/>
        <v>0</v>
      </c>
    </row>
    <row r="1617" spans="3:16">
      <c r="C1617" s="788">
        <f>IF(D1574="","-",+C1616+1)</f>
        <v>2052</v>
      </c>
      <c r="D1617" s="736">
        <f t="shared" si="145"/>
        <v>0</v>
      </c>
      <c r="E1617" s="789">
        <f t="shared" si="147"/>
        <v>0</v>
      </c>
      <c r="F1617" s="789">
        <f t="shared" si="141"/>
        <v>0</v>
      </c>
      <c r="G1617" s="736">
        <f t="shared" si="146"/>
        <v>0</v>
      </c>
      <c r="H1617" s="794">
        <f>+J1575*G1617+E1617</f>
        <v>0</v>
      </c>
      <c r="I1617" s="795">
        <f>+J1576*G1617+E1617</f>
        <v>0</v>
      </c>
      <c r="J1617" s="792">
        <f t="shared" si="148"/>
        <v>0</v>
      </c>
      <c r="K1617" s="792"/>
      <c r="L1617" s="812"/>
      <c r="M1617" s="792">
        <f t="shared" si="142"/>
        <v>0</v>
      </c>
      <c r="N1617" s="812"/>
      <c r="O1617" s="792">
        <f t="shared" si="143"/>
        <v>0</v>
      </c>
      <c r="P1617" s="792">
        <f t="shared" si="144"/>
        <v>0</v>
      </c>
    </row>
    <row r="1618" spans="3:16">
      <c r="C1618" s="788">
        <f>IF(D1574="","-",+C1617+1)</f>
        <v>2053</v>
      </c>
      <c r="D1618" s="736">
        <f t="shared" si="145"/>
        <v>0</v>
      </c>
      <c r="E1618" s="789">
        <f t="shared" si="147"/>
        <v>0</v>
      </c>
      <c r="F1618" s="789">
        <f t="shared" si="141"/>
        <v>0</v>
      </c>
      <c r="G1618" s="736">
        <f t="shared" si="146"/>
        <v>0</v>
      </c>
      <c r="H1618" s="794">
        <f>+J1575*G1618+E1618</f>
        <v>0</v>
      </c>
      <c r="I1618" s="795">
        <f>+J1576*G1618+E1618</f>
        <v>0</v>
      </c>
      <c r="J1618" s="792">
        <f t="shared" si="148"/>
        <v>0</v>
      </c>
      <c r="K1618" s="792"/>
      <c r="L1618" s="812"/>
      <c r="M1618" s="792">
        <f t="shared" si="142"/>
        <v>0</v>
      </c>
      <c r="N1618" s="812"/>
      <c r="O1618" s="792">
        <f t="shared" si="143"/>
        <v>0</v>
      </c>
      <c r="P1618" s="792">
        <f t="shared" si="144"/>
        <v>0</v>
      </c>
    </row>
    <row r="1619" spans="3:16">
      <c r="C1619" s="788">
        <f>IF(D1574="","-",+C1618+1)</f>
        <v>2054</v>
      </c>
      <c r="D1619" s="736">
        <f t="shared" si="145"/>
        <v>0</v>
      </c>
      <c r="E1619" s="789">
        <f t="shared" si="147"/>
        <v>0</v>
      </c>
      <c r="F1619" s="789">
        <f t="shared" si="141"/>
        <v>0</v>
      </c>
      <c r="G1619" s="736">
        <f t="shared" si="146"/>
        <v>0</v>
      </c>
      <c r="H1619" s="794">
        <f>+J1575*G1619+E1619</f>
        <v>0</v>
      </c>
      <c r="I1619" s="795">
        <f>+J1576*G1619+E1619</f>
        <v>0</v>
      </c>
      <c r="J1619" s="792">
        <f t="shared" si="148"/>
        <v>0</v>
      </c>
      <c r="K1619" s="792"/>
      <c r="L1619" s="812"/>
      <c r="M1619" s="792">
        <f t="shared" si="142"/>
        <v>0</v>
      </c>
      <c r="N1619" s="812"/>
      <c r="O1619" s="792">
        <f t="shared" si="143"/>
        <v>0</v>
      </c>
      <c r="P1619" s="792">
        <f t="shared" si="144"/>
        <v>0</v>
      </c>
    </row>
    <row r="1620" spans="3:16">
      <c r="C1620" s="788">
        <f>IF(D1574="","-",+C1619+1)</f>
        <v>2055</v>
      </c>
      <c r="D1620" s="736">
        <f t="shared" si="145"/>
        <v>0</v>
      </c>
      <c r="E1620" s="789">
        <f t="shared" si="147"/>
        <v>0</v>
      </c>
      <c r="F1620" s="789">
        <f t="shared" si="141"/>
        <v>0</v>
      </c>
      <c r="G1620" s="736">
        <f t="shared" si="146"/>
        <v>0</v>
      </c>
      <c r="H1620" s="794">
        <f>+J1575*G1620+E1620</f>
        <v>0</v>
      </c>
      <c r="I1620" s="795">
        <f>+J1576*G1620+E1620</f>
        <v>0</v>
      </c>
      <c r="J1620" s="792">
        <f t="shared" si="148"/>
        <v>0</v>
      </c>
      <c r="K1620" s="792"/>
      <c r="L1620" s="812"/>
      <c r="M1620" s="792">
        <f t="shared" si="142"/>
        <v>0</v>
      </c>
      <c r="N1620" s="812"/>
      <c r="O1620" s="792">
        <f t="shared" si="143"/>
        <v>0</v>
      </c>
      <c r="P1620" s="792">
        <f t="shared" si="144"/>
        <v>0</v>
      </c>
    </row>
    <row r="1621" spans="3:16">
      <c r="C1621" s="788">
        <f>IF(D1574="","-",+C1620+1)</f>
        <v>2056</v>
      </c>
      <c r="D1621" s="736">
        <f t="shared" si="145"/>
        <v>0</v>
      </c>
      <c r="E1621" s="789">
        <f t="shared" si="147"/>
        <v>0</v>
      </c>
      <c r="F1621" s="789">
        <f t="shared" si="141"/>
        <v>0</v>
      </c>
      <c r="G1621" s="736">
        <f t="shared" si="146"/>
        <v>0</v>
      </c>
      <c r="H1621" s="794">
        <f>+J1575*G1621+E1621</f>
        <v>0</v>
      </c>
      <c r="I1621" s="795">
        <f>+J1576*G1621+E1621</f>
        <v>0</v>
      </c>
      <c r="J1621" s="792">
        <f t="shared" si="148"/>
        <v>0</v>
      </c>
      <c r="K1621" s="792"/>
      <c r="L1621" s="812"/>
      <c r="M1621" s="792">
        <f t="shared" si="142"/>
        <v>0</v>
      </c>
      <c r="N1621" s="812"/>
      <c r="O1621" s="792">
        <f t="shared" si="143"/>
        <v>0</v>
      </c>
      <c r="P1621" s="792">
        <f t="shared" si="144"/>
        <v>0</v>
      </c>
    </row>
    <row r="1622" spans="3:16">
      <c r="C1622" s="788">
        <f>IF(D1574="","-",+C1621+1)</f>
        <v>2057</v>
      </c>
      <c r="D1622" s="736">
        <f t="shared" si="145"/>
        <v>0</v>
      </c>
      <c r="E1622" s="789">
        <f t="shared" si="147"/>
        <v>0</v>
      </c>
      <c r="F1622" s="789">
        <f t="shared" si="141"/>
        <v>0</v>
      </c>
      <c r="G1622" s="736">
        <f t="shared" si="146"/>
        <v>0</v>
      </c>
      <c r="H1622" s="794">
        <f>+J1575*G1622+E1622</f>
        <v>0</v>
      </c>
      <c r="I1622" s="795">
        <f>+J1576*G1622+E1622</f>
        <v>0</v>
      </c>
      <c r="J1622" s="792">
        <f t="shared" si="148"/>
        <v>0</v>
      </c>
      <c r="K1622" s="792"/>
      <c r="L1622" s="812"/>
      <c r="M1622" s="792">
        <f t="shared" si="142"/>
        <v>0</v>
      </c>
      <c r="N1622" s="812"/>
      <c r="O1622" s="792">
        <f t="shared" si="143"/>
        <v>0</v>
      </c>
      <c r="P1622" s="792">
        <f t="shared" si="144"/>
        <v>0</v>
      </c>
    </row>
    <row r="1623" spans="3:16">
      <c r="C1623" s="788">
        <f>IF(D1574="","-",+C1622+1)</f>
        <v>2058</v>
      </c>
      <c r="D1623" s="736">
        <f t="shared" si="145"/>
        <v>0</v>
      </c>
      <c r="E1623" s="789">
        <f t="shared" si="147"/>
        <v>0</v>
      </c>
      <c r="F1623" s="789">
        <f t="shared" si="141"/>
        <v>0</v>
      </c>
      <c r="G1623" s="736">
        <f t="shared" si="146"/>
        <v>0</v>
      </c>
      <c r="H1623" s="794">
        <f>+J1575*G1623+E1623</f>
        <v>0</v>
      </c>
      <c r="I1623" s="795">
        <f>+J1576*G1623+E1623</f>
        <v>0</v>
      </c>
      <c r="J1623" s="792">
        <f t="shared" si="148"/>
        <v>0</v>
      </c>
      <c r="K1623" s="792"/>
      <c r="L1623" s="812"/>
      <c r="M1623" s="792">
        <f t="shared" si="142"/>
        <v>0</v>
      </c>
      <c r="N1623" s="812"/>
      <c r="O1623" s="792">
        <f t="shared" si="143"/>
        <v>0</v>
      </c>
      <c r="P1623" s="792">
        <f t="shared" si="144"/>
        <v>0</v>
      </c>
    </row>
    <row r="1624" spans="3:16">
      <c r="C1624" s="788">
        <f>IF(D1574="","-",+C1623+1)</f>
        <v>2059</v>
      </c>
      <c r="D1624" s="736">
        <f t="shared" si="145"/>
        <v>0</v>
      </c>
      <c r="E1624" s="789">
        <f t="shared" si="147"/>
        <v>0</v>
      </c>
      <c r="F1624" s="789">
        <f t="shared" si="141"/>
        <v>0</v>
      </c>
      <c r="G1624" s="736">
        <f t="shared" si="146"/>
        <v>0</v>
      </c>
      <c r="H1624" s="794">
        <f>+J1575*G1624+E1624</f>
        <v>0</v>
      </c>
      <c r="I1624" s="795">
        <f>+J1576*G1624+E1624</f>
        <v>0</v>
      </c>
      <c r="J1624" s="792">
        <f t="shared" si="148"/>
        <v>0</v>
      </c>
      <c r="K1624" s="792"/>
      <c r="L1624" s="812"/>
      <c r="M1624" s="792">
        <f t="shared" si="142"/>
        <v>0</v>
      </c>
      <c r="N1624" s="812"/>
      <c r="O1624" s="792">
        <f t="shared" si="143"/>
        <v>0</v>
      </c>
      <c r="P1624" s="792">
        <f t="shared" si="144"/>
        <v>0</v>
      </c>
    </row>
    <row r="1625" spans="3:16">
      <c r="C1625" s="788">
        <f>IF(D1574="","-",+C1624+1)</f>
        <v>2060</v>
      </c>
      <c r="D1625" s="736">
        <f t="shared" si="145"/>
        <v>0</v>
      </c>
      <c r="E1625" s="789">
        <f t="shared" si="147"/>
        <v>0</v>
      </c>
      <c r="F1625" s="789">
        <f t="shared" si="141"/>
        <v>0</v>
      </c>
      <c r="G1625" s="736">
        <f t="shared" si="146"/>
        <v>0</v>
      </c>
      <c r="H1625" s="794">
        <f>+J1575*G1625+E1625</f>
        <v>0</v>
      </c>
      <c r="I1625" s="795">
        <f>+J1576*G1625+E1625</f>
        <v>0</v>
      </c>
      <c r="J1625" s="792">
        <f t="shared" si="148"/>
        <v>0</v>
      </c>
      <c r="K1625" s="792"/>
      <c r="L1625" s="812"/>
      <c r="M1625" s="792">
        <f t="shared" si="142"/>
        <v>0</v>
      </c>
      <c r="N1625" s="812"/>
      <c r="O1625" s="792">
        <f t="shared" si="143"/>
        <v>0</v>
      </c>
      <c r="P1625" s="792">
        <f t="shared" si="144"/>
        <v>0</v>
      </c>
    </row>
    <row r="1626" spans="3:16">
      <c r="C1626" s="788">
        <f>IF(D1574="","-",+C1625+1)</f>
        <v>2061</v>
      </c>
      <c r="D1626" s="736">
        <f t="shared" si="145"/>
        <v>0</v>
      </c>
      <c r="E1626" s="789">
        <f t="shared" si="147"/>
        <v>0</v>
      </c>
      <c r="F1626" s="789">
        <f t="shared" si="141"/>
        <v>0</v>
      </c>
      <c r="G1626" s="736">
        <f t="shared" si="146"/>
        <v>0</v>
      </c>
      <c r="H1626" s="794">
        <f>+J1575*G1626+E1626</f>
        <v>0</v>
      </c>
      <c r="I1626" s="795">
        <f>+J1576*G1626+E1626</f>
        <v>0</v>
      </c>
      <c r="J1626" s="792">
        <f t="shared" si="148"/>
        <v>0</v>
      </c>
      <c r="K1626" s="792"/>
      <c r="L1626" s="812"/>
      <c r="M1626" s="792">
        <f t="shared" si="142"/>
        <v>0</v>
      </c>
      <c r="N1626" s="812"/>
      <c r="O1626" s="792">
        <f t="shared" si="143"/>
        <v>0</v>
      </c>
      <c r="P1626" s="792">
        <f t="shared" si="144"/>
        <v>0</v>
      </c>
    </row>
    <row r="1627" spans="3:16">
      <c r="C1627" s="788">
        <f>IF(D1574="","-",+C1626+1)</f>
        <v>2062</v>
      </c>
      <c r="D1627" s="736">
        <f t="shared" si="145"/>
        <v>0</v>
      </c>
      <c r="E1627" s="789">
        <f t="shared" si="147"/>
        <v>0</v>
      </c>
      <c r="F1627" s="789">
        <f t="shared" si="141"/>
        <v>0</v>
      </c>
      <c r="G1627" s="736">
        <f t="shared" si="146"/>
        <v>0</v>
      </c>
      <c r="H1627" s="794">
        <f>+J1575*G1627+E1627</f>
        <v>0</v>
      </c>
      <c r="I1627" s="795">
        <f>+J1576*G1627+E1627</f>
        <v>0</v>
      </c>
      <c r="J1627" s="792">
        <f t="shared" si="148"/>
        <v>0</v>
      </c>
      <c r="K1627" s="792"/>
      <c r="L1627" s="812"/>
      <c r="M1627" s="792">
        <f t="shared" si="142"/>
        <v>0</v>
      </c>
      <c r="N1627" s="812"/>
      <c r="O1627" s="792">
        <f t="shared" si="143"/>
        <v>0</v>
      </c>
      <c r="P1627" s="792">
        <f t="shared" si="144"/>
        <v>0</v>
      </c>
    </row>
    <row r="1628" spans="3:16">
      <c r="C1628" s="788">
        <f>IF(D1574="","-",+C1627+1)</f>
        <v>2063</v>
      </c>
      <c r="D1628" s="736">
        <f t="shared" si="145"/>
        <v>0</v>
      </c>
      <c r="E1628" s="789">
        <f t="shared" si="147"/>
        <v>0</v>
      </c>
      <c r="F1628" s="789">
        <f t="shared" si="141"/>
        <v>0</v>
      </c>
      <c r="G1628" s="736">
        <f t="shared" si="146"/>
        <v>0</v>
      </c>
      <c r="H1628" s="794">
        <f>+J1575*G1628+E1628</f>
        <v>0</v>
      </c>
      <c r="I1628" s="795">
        <f>+J1576*G1628+E1628</f>
        <v>0</v>
      </c>
      <c r="J1628" s="792">
        <f t="shared" si="148"/>
        <v>0</v>
      </c>
      <c r="K1628" s="792"/>
      <c r="L1628" s="812"/>
      <c r="M1628" s="792">
        <f t="shared" si="142"/>
        <v>0</v>
      </c>
      <c r="N1628" s="812"/>
      <c r="O1628" s="792">
        <f t="shared" si="143"/>
        <v>0</v>
      </c>
      <c r="P1628" s="792">
        <f t="shared" si="144"/>
        <v>0</v>
      </c>
    </row>
    <row r="1629" spans="3:16">
      <c r="C1629" s="788">
        <f>IF(D1574="","-",+C1628+1)</f>
        <v>2064</v>
      </c>
      <c r="D1629" s="736">
        <f t="shared" si="145"/>
        <v>0</v>
      </c>
      <c r="E1629" s="789">
        <f t="shared" si="147"/>
        <v>0</v>
      </c>
      <c r="F1629" s="789">
        <f t="shared" si="141"/>
        <v>0</v>
      </c>
      <c r="G1629" s="736">
        <f t="shared" si="146"/>
        <v>0</v>
      </c>
      <c r="H1629" s="794">
        <f>+J1575*G1629+E1629</f>
        <v>0</v>
      </c>
      <c r="I1629" s="795">
        <f>+J1576*G1629+E1629</f>
        <v>0</v>
      </c>
      <c r="J1629" s="792">
        <f t="shared" si="148"/>
        <v>0</v>
      </c>
      <c r="K1629" s="792"/>
      <c r="L1629" s="812"/>
      <c r="M1629" s="792">
        <f t="shared" si="142"/>
        <v>0</v>
      </c>
      <c r="N1629" s="812"/>
      <c r="O1629" s="792">
        <f t="shared" si="143"/>
        <v>0</v>
      </c>
      <c r="P1629" s="792">
        <f t="shared" si="144"/>
        <v>0</v>
      </c>
    </row>
    <row r="1630" spans="3:16">
      <c r="C1630" s="788">
        <f>IF(D1574="","-",+C1629+1)</f>
        <v>2065</v>
      </c>
      <c r="D1630" s="736">
        <f t="shared" si="145"/>
        <v>0</v>
      </c>
      <c r="E1630" s="789">
        <f t="shared" si="147"/>
        <v>0</v>
      </c>
      <c r="F1630" s="789">
        <f t="shared" si="141"/>
        <v>0</v>
      </c>
      <c r="G1630" s="736">
        <f t="shared" si="146"/>
        <v>0</v>
      </c>
      <c r="H1630" s="794">
        <f>+J1575*G1630+E1630</f>
        <v>0</v>
      </c>
      <c r="I1630" s="795">
        <f>+J1576*G1630+E1630</f>
        <v>0</v>
      </c>
      <c r="J1630" s="792">
        <f t="shared" si="148"/>
        <v>0</v>
      </c>
      <c r="K1630" s="792"/>
      <c r="L1630" s="812"/>
      <c r="M1630" s="792">
        <f t="shared" si="142"/>
        <v>0</v>
      </c>
      <c r="N1630" s="812"/>
      <c r="O1630" s="792">
        <f t="shared" si="143"/>
        <v>0</v>
      </c>
      <c r="P1630" s="792">
        <f t="shared" si="144"/>
        <v>0</v>
      </c>
    </row>
    <row r="1631" spans="3:16">
      <c r="C1631" s="788">
        <f>IF(D1574="","-",+C1630+1)</f>
        <v>2066</v>
      </c>
      <c r="D1631" s="736">
        <f t="shared" si="145"/>
        <v>0</v>
      </c>
      <c r="E1631" s="789">
        <f t="shared" si="147"/>
        <v>0</v>
      </c>
      <c r="F1631" s="789">
        <f t="shared" si="141"/>
        <v>0</v>
      </c>
      <c r="G1631" s="736">
        <f t="shared" si="146"/>
        <v>0</v>
      </c>
      <c r="H1631" s="794">
        <f>+J1575*G1631+E1631</f>
        <v>0</v>
      </c>
      <c r="I1631" s="795">
        <f>+J1576*G1631+E1631</f>
        <v>0</v>
      </c>
      <c r="J1631" s="792">
        <f t="shared" si="148"/>
        <v>0</v>
      </c>
      <c r="K1631" s="792"/>
      <c r="L1631" s="812"/>
      <c r="M1631" s="792">
        <f t="shared" si="142"/>
        <v>0</v>
      </c>
      <c r="N1631" s="812"/>
      <c r="O1631" s="792">
        <f t="shared" si="143"/>
        <v>0</v>
      </c>
      <c r="P1631" s="792">
        <f t="shared" si="144"/>
        <v>0</v>
      </c>
    </row>
    <row r="1632" spans="3:16">
      <c r="C1632" s="788">
        <f>IF(D1574="","-",+C1631+1)</f>
        <v>2067</v>
      </c>
      <c r="D1632" s="736">
        <f t="shared" si="145"/>
        <v>0</v>
      </c>
      <c r="E1632" s="789">
        <f t="shared" si="147"/>
        <v>0</v>
      </c>
      <c r="F1632" s="789">
        <f t="shared" si="141"/>
        <v>0</v>
      </c>
      <c r="G1632" s="736">
        <f t="shared" si="146"/>
        <v>0</v>
      </c>
      <c r="H1632" s="794">
        <f>+J1575*G1632+E1632</f>
        <v>0</v>
      </c>
      <c r="I1632" s="795">
        <f>+J1576*G1632+E1632</f>
        <v>0</v>
      </c>
      <c r="J1632" s="792">
        <f t="shared" si="148"/>
        <v>0</v>
      </c>
      <c r="K1632" s="792"/>
      <c r="L1632" s="812"/>
      <c r="M1632" s="792">
        <f t="shared" si="142"/>
        <v>0</v>
      </c>
      <c r="N1632" s="812"/>
      <c r="O1632" s="792">
        <f t="shared" si="143"/>
        <v>0</v>
      </c>
      <c r="P1632" s="792">
        <f t="shared" si="144"/>
        <v>0</v>
      </c>
    </row>
    <row r="1633" spans="1:17">
      <c r="C1633" s="788">
        <f>IF(D1574="","-",+C1632+1)</f>
        <v>2068</v>
      </c>
      <c r="D1633" s="736">
        <f t="shared" si="145"/>
        <v>0</v>
      </c>
      <c r="E1633" s="789">
        <f t="shared" si="147"/>
        <v>0</v>
      </c>
      <c r="F1633" s="789">
        <f t="shared" si="141"/>
        <v>0</v>
      </c>
      <c r="G1633" s="736">
        <f t="shared" si="146"/>
        <v>0</v>
      </c>
      <c r="H1633" s="794">
        <f>+J1575*G1633+E1633</f>
        <v>0</v>
      </c>
      <c r="I1633" s="795">
        <f>+J1576*G1633+E1633</f>
        <v>0</v>
      </c>
      <c r="J1633" s="792">
        <f t="shared" si="148"/>
        <v>0</v>
      </c>
      <c r="K1633" s="792"/>
      <c r="L1633" s="812"/>
      <c r="M1633" s="792">
        <f t="shared" si="142"/>
        <v>0</v>
      </c>
      <c r="N1633" s="812"/>
      <c r="O1633" s="792">
        <f t="shared" si="143"/>
        <v>0</v>
      </c>
      <c r="P1633" s="792">
        <f t="shared" si="144"/>
        <v>0</v>
      </c>
    </row>
    <row r="1634" spans="1:17">
      <c r="C1634" s="788">
        <f>IF(D1574="","-",+C1633+1)</f>
        <v>2069</v>
      </c>
      <c r="D1634" s="736">
        <f t="shared" si="145"/>
        <v>0</v>
      </c>
      <c r="E1634" s="789">
        <f t="shared" si="147"/>
        <v>0</v>
      </c>
      <c r="F1634" s="789">
        <f t="shared" si="141"/>
        <v>0</v>
      </c>
      <c r="G1634" s="736">
        <f t="shared" si="146"/>
        <v>0</v>
      </c>
      <c r="H1634" s="794">
        <f>+J1575*G1634+E1634</f>
        <v>0</v>
      </c>
      <c r="I1634" s="795">
        <f>+J1576*G1634+E1634</f>
        <v>0</v>
      </c>
      <c r="J1634" s="792">
        <f t="shared" si="148"/>
        <v>0</v>
      </c>
      <c r="K1634" s="792"/>
      <c r="L1634" s="812"/>
      <c r="M1634" s="792">
        <f t="shared" si="142"/>
        <v>0</v>
      </c>
      <c r="N1634" s="812"/>
      <c r="O1634" s="792">
        <f t="shared" si="143"/>
        <v>0</v>
      </c>
      <c r="P1634" s="792">
        <f t="shared" si="144"/>
        <v>0</v>
      </c>
    </row>
    <row r="1635" spans="1:17">
      <c r="C1635" s="788">
        <f>IF(D1574="","-",+C1634+1)</f>
        <v>2070</v>
      </c>
      <c r="D1635" s="736">
        <f t="shared" si="145"/>
        <v>0</v>
      </c>
      <c r="E1635" s="789">
        <f t="shared" si="147"/>
        <v>0</v>
      </c>
      <c r="F1635" s="789">
        <f t="shared" si="141"/>
        <v>0</v>
      </c>
      <c r="G1635" s="736">
        <f t="shared" si="146"/>
        <v>0</v>
      </c>
      <c r="H1635" s="794">
        <f>+J1575*G1635+E1635</f>
        <v>0</v>
      </c>
      <c r="I1635" s="795">
        <f>+J1576*G1635+E1635</f>
        <v>0</v>
      </c>
      <c r="J1635" s="792">
        <f t="shared" si="148"/>
        <v>0</v>
      </c>
      <c r="K1635" s="792"/>
      <c r="L1635" s="812"/>
      <c r="M1635" s="792">
        <f t="shared" si="142"/>
        <v>0</v>
      </c>
      <c r="N1635" s="812"/>
      <c r="O1635" s="792">
        <f t="shared" si="143"/>
        <v>0</v>
      </c>
      <c r="P1635" s="792">
        <f t="shared" si="144"/>
        <v>0</v>
      </c>
    </row>
    <row r="1636" spans="1:17">
      <c r="C1636" s="788">
        <f>IF(D1574="","-",+C1635+1)</f>
        <v>2071</v>
      </c>
      <c r="D1636" s="736">
        <f t="shared" si="145"/>
        <v>0</v>
      </c>
      <c r="E1636" s="789">
        <f t="shared" si="147"/>
        <v>0</v>
      </c>
      <c r="F1636" s="789">
        <f t="shared" si="141"/>
        <v>0</v>
      </c>
      <c r="G1636" s="736">
        <f t="shared" si="146"/>
        <v>0</v>
      </c>
      <c r="H1636" s="794">
        <f>+J1575*G1636+E1636</f>
        <v>0</v>
      </c>
      <c r="I1636" s="795">
        <f>+J1576*G1636+E1636</f>
        <v>0</v>
      </c>
      <c r="J1636" s="792">
        <f t="shared" si="148"/>
        <v>0</v>
      </c>
      <c r="K1636" s="792"/>
      <c r="L1636" s="812"/>
      <c r="M1636" s="792">
        <f t="shared" si="142"/>
        <v>0</v>
      </c>
      <c r="N1636" s="812"/>
      <c r="O1636" s="792">
        <f t="shared" si="143"/>
        <v>0</v>
      </c>
      <c r="P1636" s="792">
        <f t="shared" si="144"/>
        <v>0</v>
      </c>
    </row>
    <row r="1637" spans="1:17">
      <c r="C1637" s="788">
        <f>IF(D1574="","-",+C1636+1)</f>
        <v>2072</v>
      </c>
      <c r="D1637" s="736">
        <f t="shared" si="145"/>
        <v>0</v>
      </c>
      <c r="E1637" s="789">
        <f>IF(D1637&gt;$J$1055,$J$1055,D1637)</f>
        <v>0</v>
      </c>
      <c r="F1637" s="789">
        <f t="shared" si="141"/>
        <v>0</v>
      </c>
      <c r="G1637" s="736">
        <f t="shared" si="146"/>
        <v>0</v>
      </c>
      <c r="H1637" s="794">
        <f>+J1575*G1637+E1637</f>
        <v>0</v>
      </c>
      <c r="I1637" s="795">
        <f>+J1576*G1637+E1637</f>
        <v>0</v>
      </c>
      <c r="J1637" s="792">
        <f t="shared" si="148"/>
        <v>0</v>
      </c>
      <c r="K1637" s="792"/>
      <c r="L1637" s="812"/>
      <c r="M1637" s="792">
        <f t="shared" si="142"/>
        <v>0</v>
      </c>
      <c r="N1637" s="812"/>
      <c r="O1637" s="792">
        <f t="shared" si="143"/>
        <v>0</v>
      </c>
      <c r="P1637" s="792">
        <f t="shared" si="144"/>
        <v>0</v>
      </c>
    </row>
    <row r="1638" spans="1:17">
      <c r="C1638" s="788">
        <f>IF(D1574="","-",+C1637+1)</f>
        <v>2073</v>
      </c>
      <c r="D1638" s="736">
        <f t="shared" si="145"/>
        <v>0</v>
      </c>
      <c r="E1638" s="789">
        <f>IF(D1638&gt;$J$1055,$J$1055,D1638)</f>
        <v>0</v>
      </c>
      <c r="F1638" s="789">
        <f t="shared" si="141"/>
        <v>0</v>
      </c>
      <c r="G1638" s="736">
        <f t="shared" si="146"/>
        <v>0</v>
      </c>
      <c r="H1638" s="794">
        <f>+J1575*G1638+E1638</f>
        <v>0</v>
      </c>
      <c r="I1638" s="795">
        <f>+J1576*G1638+E1638</f>
        <v>0</v>
      </c>
      <c r="J1638" s="792">
        <f t="shared" si="148"/>
        <v>0</v>
      </c>
      <c r="K1638" s="792"/>
      <c r="L1638" s="812"/>
      <c r="M1638" s="792">
        <f t="shared" si="142"/>
        <v>0</v>
      </c>
      <c r="N1638" s="812"/>
      <c r="O1638" s="792">
        <f t="shared" si="143"/>
        <v>0</v>
      </c>
      <c r="P1638" s="792">
        <f t="shared" si="144"/>
        <v>0</v>
      </c>
    </row>
    <row r="1639" spans="1:17" ht="13.5" thickBot="1">
      <c r="C1639" s="798">
        <f>IF(D1574="","-",+C1638+1)</f>
        <v>2074</v>
      </c>
      <c r="D1639" s="799">
        <f t="shared" si="145"/>
        <v>0</v>
      </c>
      <c r="E1639" s="800">
        <f>IF(D1639&gt;$J$1055,$J$1055,D1639)</f>
        <v>0</v>
      </c>
      <c r="F1639" s="1322">
        <f t="shared" si="141"/>
        <v>0</v>
      </c>
      <c r="G1639" s="799">
        <f t="shared" si="146"/>
        <v>0</v>
      </c>
      <c r="H1639" s="801">
        <f>+J1575*G1639+E1639</f>
        <v>0</v>
      </c>
      <c r="I1639" s="801">
        <f>+J1576*G1639+E1639</f>
        <v>0</v>
      </c>
      <c r="J1639" s="802">
        <f t="shared" si="148"/>
        <v>0</v>
      </c>
      <c r="K1639" s="792"/>
      <c r="L1639" s="813"/>
      <c r="M1639" s="802">
        <f t="shared" si="142"/>
        <v>0</v>
      </c>
      <c r="N1639" s="813"/>
      <c r="O1639" s="802">
        <f t="shared" si="143"/>
        <v>0</v>
      </c>
      <c r="P1639" s="802">
        <f t="shared" si="144"/>
        <v>0</v>
      </c>
    </row>
    <row r="1640" spans="1:17">
      <c r="C1640" s="736" t="s">
        <v>83</v>
      </c>
      <c r="D1640" s="730"/>
      <c r="E1640" s="730">
        <f>SUM(E1580:E1639)</f>
        <v>7360771.7699999996</v>
      </c>
      <c r="F1640" s="730"/>
      <c r="G1640" s="730"/>
      <c r="H1640" s="730">
        <f>SUM(H1580:H1639)</f>
        <v>27038476.784008671</v>
      </c>
      <c r="I1640" s="730">
        <f>SUM(I1580:I1639)</f>
        <v>27038476.784008671</v>
      </c>
      <c r="J1640" s="730">
        <f>SUM(J1580:J1639)</f>
        <v>0</v>
      </c>
      <c r="K1640" s="730"/>
      <c r="L1640" s="730"/>
      <c r="M1640" s="730"/>
      <c r="N1640" s="730"/>
      <c r="O1640" s="730"/>
    </row>
    <row r="1641" spans="1:17">
      <c r="D1641" s="538"/>
      <c r="E1641" s="313"/>
      <c r="F1641" s="313"/>
      <c r="G1641" s="313"/>
      <c r="H1641" s="313"/>
      <c r="I1641" s="708"/>
      <c r="J1641" s="708"/>
      <c r="K1641" s="730"/>
      <c r="L1641" s="708"/>
      <c r="M1641" s="708"/>
      <c r="N1641" s="708"/>
      <c r="O1641" s="708"/>
    </row>
    <row r="1642" spans="1:17">
      <c r="C1642" s="313" t="s">
        <v>13</v>
      </c>
      <c r="D1642" s="538"/>
      <c r="E1642" s="313"/>
      <c r="F1642" s="313"/>
      <c r="G1642" s="313"/>
      <c r="H1642" s="313"/>
      <c r="I1642" s="708"/>
      <c r="J1642" s="708"/>
      <c r="K1642" s="730"/>
      <c r="L1642" s="708"/>
      <c r="M1642" s="708"/>
      <c r="N1642" s="708"/>
      <c r="O1642" s="708"/>
    </row>
    <row r="1643" spans="1:17">
      <c r="C1643" s="313"/>
      <c r="D1643" s="538"/>
      <c r="E1643" s="313"/>
      <c r="F1643" s="313"/>
      <c r="G1643" s="313"/>
      <c r="H1643" s="313"/>
      <c r="I1643" s="708"/>
      <c r="J1643" s="708"/>
      <c r="K1643" s="730"/>
      <c r="L1643" s="708"/>
      <c r="M1643" s="708"/>
      <c r="N1643" s="708"/>
      <c r="O1643" s="708"/>
    </row>
    <row r="1644" spans="1:17">
      <c r="C1644" s="749" t="s">
        <v>14</v>
      </c>
      <c r="D1644" s="736"/>
      <c r="E1644" s="736"/>
      <c r="F1644" s="736"/>
      <c r="G1644" s="736"/>
      <c r="H1644" s="730"/>
      <c r="I1644" s="730"/>
      <c r="J1644" s="804"/>
      <c r="K1644" s="804"/>
      <c r="L1644" s="804"/>
      <c r="M1644" s="804"/>
      <c r="N1644" s="804"/>
      <c r="O1644" s="804"/>
    </row>
    <row r="1645" spans="1:17">
      <c r="C1645" s="735" t="s">
        <v>263</v>
      </c>
      <c r="D1645" s="736"/>
      <c r="E1645" s="736"/>
      <c r="F1645" s="736"/>
      <c r="G1645" s="736"/>
      <c r="H1645" s="730"/>
      <c r="I1645" s="730"/>
      <c r="J1645" s="804"/>
      <c r="K1645" s="804"/>
      <c r="L1645" s="804"/>
      <c r="M1645" s="804"/>
      <c r="N1645" s="804"/>
      <c r="O1645" s="804"/>
    </row>
    <row r="1646" spans="1:17">
      <c r="C1646" s="735" t="s">
        <v>84</v>
      </c>
      <c r="D1646" s="736"/>
      <c r="E1646" s="736"/>
      <c r="F1646" s="736"/>
      <c r="G1646" s="736"/>
      <c r="H1646" s="730"/>
      <c r="I1646" s="730"/>
      <c r="J1646" s="804"/>
      <c r="K1646" s="804"/>
      <c r="L1646" s="804"/>
      <c r="M1646" s="804"/>
      <c r="N1646" s="804"/>
      <c r="O1646" s="804"/>
    </row>
    <row r="1648" spans="1:17" ht="20.25">
      <c r="A1648" s="737" t="str">
        <f>""&amp;A1572&amp;" Worksheet K -  ATRR TRUE-UP Calculation for PJM Projects Charged to Benefiting Zones"</f>
        <v xml:space="preserve"> Worksheet K -  ATRR TRUE-UP Calculation for PJM Projects Charged to Benefiting Zones</v>
      </c>
      <c r="B1648" s="347"/>
      <c r="C1648" s="725"/>
      <c r="D1648" s="538"/>
      <c r="E1648" s="313"/>
      <c r="F1648" s="707"/>
      <c r="G1648" s="707"/>
      <c r="H1648" s="313"/>
      <c r="I1648" s="708"/>
      <c r="L1648" s="564"/>
      <c r="M1648" s="564"/>
      <c r="N1648" s="564"/>
      <c r="O1648" s="653" t="str">
        <f>"Page "&amp;SUM(Q$8:Q1648)&amp;" of "</f>
        <v xml:space="preserve">Page 20 of </v>
      </c>
      <c r="P1648" s="654">
        <f>COUNT(Q$8:Q$57703)</f>
        <v>22</v>
      </c>
      <c r="Q1648" s="655">
        <v>1</v>
      </c>
    </row>
    <row r="1649" spans="2:16">
      <c r="B1649" s="347"/>
      <c r="C1649" s="313"/>
      <c r="D1649" s="538"/>
      <c r="E1649" s="313"/>
      <c r="F1649" s="313"/>
      <c r="G1649" s="313"/>
      <c r="H1649" s="313"/>
      <c r="I1649" s="708"/>
      <c r="J1649" s="313"/>
      <c r="K1649" s="426"/>
    </row>
    <row r="1650" spans="2:16" ht="18">
      <c r="B1650" s="657" t="s">
        <v>466</v>
      </c>
      <c r="C1650" s="739" t="s">
        <v>85</v>
      </c>
      <c r="D1650" s="538"/>
      <c r="E1650" s="313"/>
      <c r="F1650" s="313"/>
      <c r="G1650" s="313"/>
      <c r="H1650" s="313"/>
      <c r="I1650" s="708"/>
      <c r="J1650" s="708"/>
      <c r="K1650" s="730"/>
      <c r="L1650" s="708"/>
      <c r="M1650" s="708"/>
      <c r="N1650" s="708"/>
      <c r="O1650" s="708"/>
    </row>
    <row r="1651" spans="2:16" ht="18.75">
      <c r="B1651" s="657"/>
      <c r="C1651" s="656"/>
      <c r="D1651" s="538"/>
      <c r="E1651" s="313"/>
      <c r="F1651" s="313"/>
      <c r="G1651" s="313"/>
      <c r="H1651" s="313"/>
      <c r="I1651" s="708"/>
      <c r="J1651" s="708"/>
      <c r="K1651" s="730"/>
      <c r="L1651" s="708"/>
      <c r="M1651" s="708"/>
      <c r="N1651" s="708"/>
      <c r="O1651" s="708"/>
    </row>
    <row r="1652" spans="2:16" ht="18.75">
      <c r="B1652" s="657"/>
      <c r="C1652" s="656" t="s">
        <v>86</v>
      </c>
      <c r="D1652" s="538"/>
      <c r="E1652" s="313"/>
      <c r="F1652" s="313"/>
      <c r="G1652" s="313"/>
      <c r="H1652" s="313"/>
      <c r="I1652" s="708"/>
      <c r="J1652" s="708"/>
      <c r="K1652" s="730"/>
      <c r="L1652" s="708"/>
      <c r="M1652" s="708"/>
      <c r="N1652" s="708"/>
      <c r="O1652" s="708"/>
    </row>
    <row r="1653" spans="2:16" ht="15.75" thickBot="1">
      <c r="C1653" s="239"/>
      <c r="D1653" s="538"/>
      <c r="E1653" s="313"/>
      <c r="F1653" s="313"/>
      <c r="G1653" s="313"/>
      <c r="H1653" s="313"/>
      <c r="I1653" s="708"/>
      <c r="J1653" s="708"/>
      <c r="K1653" s="730"/>
      <c r="L1653" s="708"/>
      <c r="M1653" s="708"/>
      <c r="N1653" s="708"/>
      <c r="O1653" s="708"/>
    </row>
    <row r="1654" spans="2:16" ht="15.75">
      <c r="C1654" s="659" t="s">
        <v>87</v>
      </c>
      <c r="D1654" s="538"/>
      <c r="E1654" s="313"/>
      <c r="F1654" s="313"/>
      <c r="G1654" s="313"/>
      <c r="H1654" s="806"/>
      <c r="I1654" s="313" t="s">
        <v>66</v>
      </c>
      <c r="J1654" s="313"/>
      <c r="K1654" s="426"/>
      <c r="L1654" s="835">
        <f>+J1660</f>
        <v>2023</v>
      </c>
      <c r="M1654" s="816" t="s">
        <v>45</v>
      </c>
      <c r="N1654" s="816" t="s">
        <v>46</v>
      </c>
      <c r="O1654" s="817" t="s">
        <v>47</v>
      </c>
    </row>
    <row r="1655" spans="2:16" ht="15.75">
      <c r="C1655" s="659"/>
      <c r="D1655" s="538"/>
      <c r="E1655" s="313"/>
      <c r="F1655" s="313"/>
      <c r="H1655" s="313"/>
      <c r="I1655" s="744"/>
      <c r="J1655" s="744"/>
      <c r="K1655" s="745"/>
      <c r="L1655" s="836" t="s">
        <v>235</v>
      </c>
      <c r="M1655" s="837">
        <f>VLOOKUP(J1660,C1667:P1726,10)</f>
        <v>7455437.8209287105</v>
      </c>
      <c r="N1655" s="837">
        <f>VLOOKUP(J1660,C1667:P1726,12)</f>
        <v>7455437.8209287105</v>
      </c>
      <c r="O1655" s="838">
        <f>+N1655-M1655</f>
        <v>0</v>
      </c>
    </row>
    <row r="1656" spans="2:16" ht="12.95" customHeight="1">
      <c r="C1656" s="749" t="s">
        <v>88</v>
      </c>
      <c r="D1656" s="1537" t="s">
        <v>828</v>
      </c>
      <c r="E1656" s="1537"/>
      <c r="F1656" s="1537"/>
      <c r="G1656" s="1537"/>
      <c r="H1656" s="1537"/>
      <c r="I1656" s="1537"/>
      <c r="J1656" s="708"/>
      <c r="K1656" s="730"/>
      <c r="L1656" s="836" t="s">
        <v>236</v>
      </c>
      <c r="M1656" s="839">
        <f>VLOOKUP(J1660,C1667:P1726,6)</f>
        <v>7138204.7652317546</v>
      </c>
      <c r="N1656" s="839">
        <f>VLOOKUP(J1660,C1667:P1726,7)</f>
        <v>7138204.7652317546</v>
      </c>
      <c r="O1656" s="840">
        <f>+N1656-M1656</f>
        <v>0</v>
      </c>
    </row>
    <row r="1657" spans="2:16" ht="13.5" thickBot="1">
      <c r="C1657" s="753"/>
      <c r="D1657" s="1537" t="s">
        <v>408</v>
      </c>
      <c r="E1657" s="1537"/>
      <c r="F1657" s="1537"/>
      <c r="G1657" s="1537"/>
      <c r="H1657" s="1537"/>
      <c r="I1657" s="1537"/>
      <c r="J1657" s="708"/>
      <c r="K1657" s="730"/>
      <c r="L1657" s="772" t="s">
        <v>237</v>
      </c>
      <c r="M1657" s="841">
        <f>+M1656-M1655</f>
        <v>-317233.05569695588</v>
      </c>
      <c r="N1657" s="841">
        <f>+N1656-N1655</f>
        <v>-317233.05569695588</v>
      </c>
      <c r="O1657" s="842">
        <f>+O1656-O1655</f>
        <v>0</v>
      </c>
    </row>
    <row r="1658" spans="2:16" ht="13.5" thickBot="1">
      <c r="C1658" s="756"/>
      <c r="D1658" s="757"/>
      <c r="E1658" s="755"/>
      <c r="F1658" s="755"/>
      <c r="G1658" s="755"/>
      <c r="H1658" s="755"/>
      <c r="I1658" s="755"/>
      <c r="J1658" s="755"/>
      <c r="K1658" s="758"/>
      <c r="L1658" s="755"/>
      <c r="M1658" s="755"/>
      <c r="N1658" s="755"/>
      <c r="O1658" s="755"/>
      <c r="P1658" s="347"/>
    </row>
    <row r="1659" spans="2:16" ht="13.5" thickBot="1">
      <c r="C1659" s="759" t="s">
        <v>89</v>
      </c>
      <c r="D1659" s="760"/>
      <c r="E1659" s="760"/>
      <c r="F1659" s="760"/>
      <c r="G1659" s="760"/>
      <c r="H1659" s="760"/>
      <c r="I1659" s="760"/>
      <c r="J1659" s="760"/>
      <c r="K1659" s="762"/>
      <c r="P1659" s="763"/>
    </row>
    <row r="1660" spans="2:16" ht="15">
      <c r="C1660" s="764" t="s">
        <v>67</v>
      </c>
      <c r="D1660" s="808">
        <v>50970497.310000002</v>
      </c>
      <c r="E1660" s="725" t="s">
        <v>68</v>
      </c>
      <c r="H1660" s="765"/>
      <c r="I1660" s="765"/>
      <c r="J1660" s="766">
        <f>$J$93</f>
        <v>2023</v>
      </c>
      <c r="K1660" s="554"/>
      <c r="L1660" s="1536" t="s">
        <v>69</v>
      </c>
      <c r="M1660" s="1536"/>
      <c r="N1660" s="1536"/>
      <c r="O1660" s="1536"/>
      <c r="P1660" s="426"/>
    </row>
    <row r="1661" spans="2:16">
      <c r="C1661" s="764" t="s">
        <v>70</v>
      </c>
      <c r="D1661" s="809">
        <v>2015</v>
      </c>
      <c r="E1661" s="764" t="s">
        <v>71</v>
      </c>
      <c r="F1661" s="765"/>
      <c r="G1661" s="765"/>
      <c r="I1661" s="172"/>
      <c r="J1661" s="810">
        <f>IF(H1654="",0,$F$17)</f>
        <v>0</v>
      </c>
      <c r="K1661" s="767"/>
      <c r="L1661" s="730" t="s">
        <v>277</v>
      </c>
      <c r="P1661" s="426"/>
    </row>
    <row r="1662" spans="2:16">
      <c r="C1662" s="764" t="s">
        <v>72</v>
      </c>
      <c r="D1662" s="808">
        <v>6</v>
      </c>
      <c r="E1662" s="764" t="s">
        <v>73</v>
      </c>
      <c r="F1662" s="765"/>
      <c r="G1662" s="765"/>
      <c r="I1662" s="172"/>
      <c r="J1662" s="768">
        <f>$F$70</f>
        <v>0.14450383244078713</v>
      </c>
      <c r="K1662" s="769"/>
      <c r="L1662" s="313" t="str">
        <f>"          INPUT TRUE-UP ARR (WITH &amp; WITHOUT INCENTIVES) FROM EACH PRIOR YEAR"</f>
        <v xml:space="preserve">          INPUT TRUE-UP ARR (WITH &amp; WITHOUT INCENTIVES) FROM EACH PRIOR YEAR</v>
      </c>
      <c r="P1662" s="426"/>
    </row>
    <row r="1663" spans="2:16">
      <c r="C1663" s="764" t="s">
        <v>74</v>
      </c>
      <c r="D1663" s="770">
        <f>H$79</f>
        <v>35</v>
      </c>
      <c r="E1663" s="764" t="s">
        <v>75</v>
      </c>
      <c r="F1663" s="765"/>
      <c r="G1663" s="765"/>
      <c r="I1663" s="172"/>
      <c r="J1663" s="768">
        <f>IF(H1654="",+J1662,$F$69)</f>
        <v>0.14450383244078713</v>
      </c>
      <c r="K1663" s="771"/>
      <c r="L1663" s="313" t="s">
        <v>157</v>
      </c>
      <c r="M1663" s="771"/>
      <c r="N1663" s="771"/>
      <c r="O1663" s="771"/>
      <c r="P1663" s="426"/>
    </row>
    <row r="1664" spans="2:16" ht="13.5" thickBot="1">
      <c r="C1664" s="764" t="s">
        <v>76</v>
      </c>
      <c r="D1664" s="807" t="s">
        <v>808</v>
      </c>
      <c r="E1664" s="772" t="s">
        <v>77</v>
      </c>
      <c r="F1664" s="773"/>
      <c r="G1664" s="773"/>
      <c r="H1664" s="774"/>
      <c r="I1664" s="774"/>
      <c r="J1664" s="752">
        <f>IF(D1660=0,0,D1660/D1663)</f>
        <v>1456299.9231428572</v>
      </c>
      <c r="K1664" s="730"/>
      <c r="L1664" s="730" t="s">
        <v>158</v>
      </c>
      <c r="M1664" s="730"/>
      <c r="N1664" s="730"/>
      <c r="O1664" s="730"/>
      <c r="P1664" s="426"/>
    </row>
    <row r="1665" spans="2:16" ht="38.25">
      <c r="B1665" s="845"/>
      <c r="C1665" s="775" t="s">
        <v>67</v>
      </c>
      <c r="D1665" s="776" t="s">
        <v>78</v>
      </c>
      <c r="E1665" s="777" t="s">
        <v>79</v>
      </c>
      <c r="F1665" s="776" t="s">
        <v>80</v>
      </c>
      <c r="G1665" s="776" t="s">
        <v>238</v>
      </c>
      <c r="H1665" s="777" t="s">
        <v>151</v>
      </c>
      <c r="I1665" s="778" t="s">
        <v>151</v>
      </c>
      <c r="J1665" s="775" t="s">
        <v>90</v>
      </c>
      <c r="K1665" s="779"/>
      <c r="L1665" s="777" t="s">
        <v>153</v>
      </c>
      <c r="M1665" s="777" t="s">
        <v>159</v>
      </c>
      <c r="N1665" s="777" t="s">
        <v>153</v>
      </c>
      <c r="O1665" s="777" t="s">
        <v>161</v>
      </c>
      <c r="P1665" s="777" t="s">
        <v>81</v>
      </c>
    </row>
    <row r="1666" spans="2:16" ht="13.5" thickBot="1">
      <c r="C1666" s="781" t="s">
        <v>469</v>
      </c>
      <c r="D1666" s="782" t="s">
        <v>470</v>
      </c>
      <c r="E1666" s="781" t="s">
        <v>363</v>
      </c>
      <c r="F1666" s="782" t="s">
        <v>470</v>
      </c>
      <c r="G1666" s="782" t="s">
        <v>470</v>
      </c>
      <c r="H1666" s="783" t="s">
        <v>93</v>
      </c>
      <c r="I1666" s="784" t="s">
        <v>95</v>
      </c>
      <c r="J1666" s="785" t="s">
        <v>15</v>
      </c>
      <c r="K1666" s="786"/>
      <c r="L1666" s="783" t="s">
        <v>82</v>
      </c>
      <c r="M1666" s="783" t="s">
        <v>82</v>
      </c>
      <c r="N1666" s="783" t="s">
        <v>255</v>
      </c>
      <c r="O1666" s="783" t="s">
        <v>255</v>
      </c>
      <c r="P1666" s="783" t="s">
        <v>255</v>
      </c>
    </row>
    <row r="1667" spans="2:16">
      <c r="C1667" s="788">
        <f>IF(D1661= "","-",D1661)</f>
        <v>2015</v>
      </c>
      <c r="D1667" s="736">
        <f>+D1660</f>
        <v>50970497.310000002</v>
      </c>
      <c r="E1667" s="794">
        <f>+J1664/12*(12-D1662)</f>
        <v>728149.96157142858</v>
      </c>
      <c r="F1667" s="843">
        <f t="shared" ref="F1667:F1726" si="149">+D1667-E1667</f>
        <v>50242347.348428577</v>
      </c>
      <c r="G1667" s="736">
        <f>+(D1667+F1667)/2</f>
        <v>50606422.32921429</v>
      </c>
      <c r="H1667" s="790">
        <f>+J1662*G1667+E1667</f>
        <v>8040971.9342599185</v>
      </c>
      <c r="I1667" s="791">
        <f>+J1663*G1667+E1667</f>
        <v>8040971.9342599185</v>
      </c>
      <c r="J1667" s="792">
        <f>+I1667-H1667</f>
        <v>0</v>
      </c>
      <c r="K1667" s="792"/>
      <c r="L1667" s="811">
        <v>6416043</v>
      </c>
      <c r="M1667" s="844">
        <f t="shared" ref="M1667:M1726" si="150">IF(L1667&lt;&gt;0,+H1667-L1667,0)</f>
        <v>1624928.9342599185</v>
      </c>
      <c r="N1667" s="811">
        <v>6416043</v>
      </c>
      <c r="O1667" s="844">
        <f t="shared" ref="O1667:O1726" si="151">IF(N1667&lt;&gt;0,+I1667-N1667,0)</f>
        <v>1624928.9342599185</v>
      </c>
      <c r="P1667" s="844">
        <f t="shared" ref="P1667:P1726" si="152">+O1667-M1667</f>
        <v>0</v>
      </c>
    </row>
    <row r="1668" spans="2:16">
      <c r="C1668" s="788">
        <f>IF(D1661="","-",+C1667+1)</f>
        <v>2016</v>
      </c>
      <c r="D1668" s="736">
        <f t="shared" ref="D1668:D1726" si="153">F1667</f>
        <v>50242347.348428577</v>
      </c>
      <c r="E1668" s="789">
        <f>IF(D1668&gt;$J$1664,$J$1664,D1668)</f>
        <v>1456299.9231428572</v>
      </c>
      <c r="F1668" s="789">
        <f t="shared" si="149"/>
        <v>48786047.425285719</v>
      </c>
      <c r="G1668" s="736">
        <f t="shared" ref="G1668:G1726" si="154">+(D1668+F1668)/2</f>
        <v>49514197.386857152</v>
      </c>
      <c r="H1668" s="794">
        <f>+J1662*G1668+E1668</f>
        <v>8611291.2057733238</v>
      </c>
      <c r="I1668" s="795">
        <f>+J1663*G1668+E1668</f>
        <v>8611291.2057733238</v>
      </c>
      <c r="J1668" s="792">
        <f>+I1668-H1668</f>
        <v>0</v>
      </c>
      <c r="K1668" s="792"/>
      <c r="L1668" s="812">
        <v>7260678</v>
      </c>
      <c r="M1668" s="792">
        <f t="shared" si="150"/>
        <v>1350613.2057733238</v>
      </c>
      <c r="N1668" s="812">
        <v>7260678</v>
      </c>
      <c r="O1668" s="792">
        <f t="shared" si="151"/>
        <v>1350613.2057733238</v>
      </c>
      <c r="P1668" s="792">
        <f t="shared" si="152"/>
        <v>0</v>
      </c>
    </row>
    <row r="1669" spans="2:16">
      <c r="C1669" s="788">
        <f>IF(D1661="","-",+C1668+1)</f>
        <v>2017</v>
      </c>
      <c r="D1669" s="736">
        <f t="shared" si="153"/>
        <v>48786047.425285719</v>
      </c>
      <c r="E1669" s="789">
        <f t="shared" ref="E1669:E1725" si="155">IF(D1669&gt;$J$1664,$J$1664,D1669)</f>
        <v>1456299.9231428572</v>
      </c>
      <c r="F1669" s="789">
        <f t="shared" si="149"/>
        <v>47329747.502142861</v>
      </c>
      <c r="G1669" s="736">
        <f t="shared" si="154"/>
        <v>48057897.463714287</v>
      </c>
      <c r="H1669" s="794">
        <f>+J1662*G1669+E1669</f>
        <v>8400850.2856959552</v>
      </c>
      <c r="I1669" s="795">
        <f>+J1663*G1669+E1669</f>
        <v>8400850.2856959552</v>
      </c>
      <c r="J1669" s="792">
        <f t="shared" ref="J1669:J1726" si="156">+I1669-H1669</f>
        <v>0</v>
      </c>
      <c r="K1669" s="792"/>
      <c r="L1669" s="812">
        <v>8690541</v>
      </c>
      <c r="M1669" s="792">
        <f t="shared" si="150"/>
        <v>-289690.71430404484</v>
      </c>
      <c r="N1669" s="812">
        <v>8690541</v>
      </c>
      <c r="O1669" s="792">
        <f t="shared" si="151"/>
        <v>-289690.71430404484</v>
      </c>
      <c r="P1669" s="792">
        <f t="shared" si="152"/>
        <v>0</v>
      </c>
    </row>
    <row r="1670" spans="2:16">
      <c r="C1670" s="788">
        <f>IF(D1661="","-",+C1669+1)</f>
        <v>2018</v>
      </c>
      <c r="D1670" s="1402">
        <f t="shared" si="153"/>
        <v>47329747.502142861</v>
      </c>
      <c r="E1670" s="789">
        <f t="shared" si="155"/>
        <v>1456299.9231428572</v>
      </c>
      <c r="F1670" s="789">
        <f t="shared" si="149"/>
        <v>45873447.579000004</v>
      </c>
      <c r="G1670" s="736">
        <f t="shared" si="154"/>
        <v>46601597.540571436</v>
      </c>
      <c r="H1670" s="794">
        <f>+J1662*G1670+E1670</f>
        <v>8190409.3656185893</v>
      </c>
      <c r="I1670" s="795">
        <f>+J1663*G1670+E1670</f>
        <v>8190409.3656185893</v>
      </c>
      <c r="J1670" s="792">
        <f t="shared" si="156"/>
        <v>0</v>
      </c>
      <c r="K1670" s="792"/>
      <c r="L1670" s="812">
        <v>7830032</v>
      </c>
      <c r="M1670" s="792">
        <f t="shared" si="150"/>
        <v>360377.36561858933</v>
      </c>
      <c r="N1670" s="812">
        <v>7830032</v>
      </c>
      <c r="O1670" s="792">
        <f t="shared" si="151"/>
        <v>360377.36561858933</v>
      </c>
      <c r="P1670" s="792">
        <f t="shared" si="152"/>
        <v>0</v>
      </c>
    </row>
    <row r="1671" spans="2:16">
      <c r="C1671" s="788">
        <f>IF(D1661="","-",+C1670+1)</f>
        <v>2019</v>
      </c>
      <c r="D1671" s="1321">
        <f t="shared" si="153"/>
        <v>45873447.579000004</v>
      </c>
      <c r="E1671" s="789">
        <f t="shared" si="155"/>
        <v>1456299.9231428572</v>
      </c>
      <c r="F1671" s="789">
        <f t="shared" si="149"/>
        <v>44417147.655857146</v>
      </c>
      <c r="G1671" s="736">
        <f t="shared" si="154"/>
        <v>45145297.617428571</v>
      </c>
      <c r="H1671" s="794">
        <f>+J1662*G1671+E1671</f>
        <v>7979968.4455412216</v>
      </c>
      <c r="I1671" s="795">
        <f>+J1663*G1671+E1671</f>
        <v>7979968.4455412216</v>
      </c>
      <c r="J1671" s="792">
        <f t="shared" si="156"/>
        <v>0</v>
      </c>
      <c r="K1671" s="792"/>
      <c r="L1671" s="812">
        <v>8066437.6407060083</v>
      </c>
      <c r="M1671" s="792">
        <f t="shared" si="150"/>
        <v>-86469.195164786652</v>
      </c>
      <c r="N1671" s="812">
        <v>8066437.6407060083</v>
      </c>
      <c r="O1671" s="792">
        <f t="shared" si="151"/>
        <v>-86469.195164786652</v>
      </c>
      <c r="P1671" s="792">
        <f t="shared" si="152"/>
        <v>0</v>
      </c>
    </row>
    <row r="1672" spans="2:16">
      <c r="C1672" s="788">
        <f>IF(D1661="","-",+C1671+1)</f>
        <v>2020</v>
      </c>
      <c r="D1672" s="1321">
        <f t="shared" si="153"/>
        <v>44417147.655857146</v>
      </c>
      <c r="E1672" s="789">
        <f t="shared" si="155"/>
        <v>1456299.9231428572</v>
      </c>
      <c r="F1672" s="789">
        <f t="shared" si="149"/>
        <v>42960847.732714288</v>
      </c>
      <c r="G1672" s="736">
        <f t="shared" si="154"/>
        <v>43688997.694285721</v>
      </c>
      <c r="H1672" s="794">
        <f>+J1662*G1672+E1672</f>
        <v>7769527.5254638558</v>
      </c>
      <c r="I1672" s="795">
        <f>+J1663*G1672+E1672</f>
        <v>7769527.5254638558</v>
      </c>
      <c r="J1672" s="792">
        <f t="shared" si="156"/>
        <v>0</v>
      </c>
      <c r="K1672" s="792"/>
      <c r="L1672" s="812">
        <v>8458843.4124214686</v>
      </c>
      <c r="M1672" s="792">
        <f t="shared" si="150"/>
        <v>-689315.88695761282</v>
      </c>
      <c r="N1672" s="812">
        <v>8458843.4124214686</v>
      </c>
      <c r="O1672" s="792">
        <f t="shared" si="151"/>
        <v>-689315.88695761282</v>
      </c>
      <c r="P1672" s="792">
        <f t="shared" si="152"/>
        <v>0</v>
      </c>
    </row>
    <row r="1673" spans="2:16">
      <c r="C1673" s="788">
        <f>IF(D1661="","-",+C1672+1)</f>
        <v>2021</v>
      </c>
      <c r="D1673" s="1321">
        <f t="shared" si="153"/>
        <v>42960847.732714288</v>
      </c>
      <c r="E1673" s="789">
        <f t="shared" si="155"/>
        <v>1456299.9231428572</v>
      </c>
      <c r="F1673" s="789">
        <f t="shared" si="149"/>
        <v>41504547.80957143</v>
      </c>
      <c r="G1673" s="736">
        <f t="shared" si="154"/>
        <v>42232697.771142855</v>
      </c>
      <c r="H1673" s="794">
        <f>+J1662*G1673+E1673</f>
        <v>7559086.6053864881</v>
      </c>
      <c r="I1673" s="795">
        <f>+J1663*G1673+E1673</f>
        <v>7559086.6053864881</v>
      </c>
      <c r="J1673" s="792">
        <f t="shared" si="156"/>
        <v>0</v>
      </c>
      <c r="K1673" s="792"/>
      <c r="L1673" s="812">
        <v>7649879.9991585836</v>
      </c>
      <c r="M1673" s="792">
        <f t="shared" si="150"/>
        <v>-90793.393772095442</v>
      </c>
      <c r="N1673" s="812">
        <v>7649879.9991585836</v>
      </c>
      <c r="O1673" s="792">
        <f t="shared" si="151"/>
        <v>-90793.393772095442</v>
      </c>
      <c r="P1673" s="792">
        <f t="shared" si="152"/>
        <v>0</v>
      </c>
    </row>
    <row r="1674" spans="2:16">
      <c r="C1674" s="788">
        <f>IF(D1661="","-",+C1673+1)</f>
        <v>2022</v>
      </c>
      <c r="D1674" s="1321">
        <f t="shared" si="153"/>
        <v>41504547.80957143</v>
      </c>
      <c r="E1674" s="789">
        <f t="shared" si="155"/>
        <v>1456299.9231428572</v>
      </c>
      <c r="F1674" s="789">
        <f t="shared" si="149"/>
        <v>40048247.886428572</v>
      </c>
      <c r="G1674" s="736">
        <f t="shared" si="154"/>
        <v>40776397.848000005</v>
      </c>
      <c r="H1674" s="794">
        <f>+J1662*G1674+E1674</f>
        <v>7348645.6853091223</v>
      </c>
      <c r="I1674" s="795">
        <f>+J1663*G1674+E1674</f>
        <v>7348645.6853091223</v>
      </c>
      <c r="J1674" s="792">
        <f t="shared" si="156"/>
        <v>0</v>
      </c>
      <c r="K1674" s="792"/>
      <c r="L1674" s="812">
        <v>7644098.9324359279</v>
      </c>
      <c r="M1674" s="792">
        <f t="shared" si="150"/>
        <v>-295453.2471268056</v>
      </c>
      <c r="N1674" s="812">
        <v>7644098.9324359279</v>
      </c>
      <c r="O1674" s="792">
        <f t="shared" si="151"/>
        <v>-295453.2471268056</v>
      </c>
      <c r="P1674" s="792">
        <f t="shared" si="152"/>
        <v>0</v>
      </c>
    </row>
    <row r="1675" spans="2:16">
      <c r="C1675" s="788">
        <f>IF(D1661="","-",+C1674+1)</f>
        <v>2023</v>
      </c>
      <c r="D1675" s="736">
        <f t="shared" si="153"/>
        <v>40048247.886428572</v>
      </c>
      <c r="E1675" s="789">
        <f t="shared" si="155"/>
        <v>1456299.9231428572</v>
      </c>
      <c r="F1675" s="789">
        <f t="shared" si="149"/>
        <v>38591947.963285714</v>
      </c>
      <c r="G1675" s="736">
        <f t="shared" si="154"/>
        <v>39320097.92485714</v>
      </c>
      <c r="H1675" s="794">
        <f>+J1662*G1675+E1675</f>
        <v>7138204.7652317546</v>
      </c>
      <c r="I1675" s="795">
        <f>+J1663*G1675+E1675</f>
        <v>7138204.7652317546</v>
      </c>
      <c r="J1675" s="792">
        <f t="shared" si="156"/>
        <v>0</v>
      </c>
      <c r="K1675" s="792"/>
      <c r="L1675" s="812">
        <v>7455437.8209287105</v>
      </c>
      <c r="M1675" s="792">
        <f t="shared" si="150"/>
        <v>-317233.05569695588</v>
      </c>
      <c r="N1675" s="812">
        <v>7455437.8209287105</v>
      </c>
      <c r="O1675" s="792">
        <f t="shared" si="151"/>
        <v>-317233.05569695588</v>
      </c>
      <c r="P1675" s="792">
        <f t="shared" si="152"/>
        <v>0</v>
      </c>
    </row>
    <row r="1676" spans="2:16">
      <c r="C1676" s="788">
        <f>IF(D1661="","-",+C1675+1)</f>
        <v>2024</v>
      </c>
      <c r="D1676" s="736">
        <f t="shared" si="153"/>
        <v>38591947.963285714</v>
      </c>
      <c r="E1676" s="789">
        <f t="shared" si="155"/>
        <v>1456299.9231428572</v>
      </c>
      <c r="F1676" s="789">
        <f t="shared" si="149"/>
        <v>37135648.040142857</v>
      </c>
      <c r="G1676" s="736">
        <f t="shared" si="154"/>
        <v>37863798.001714289</v>
      </c>
      <c r="H1676" s="794">
        <f>+J1662*G1676+E1676</f>
        <v>6927763.8451543888</v>
      </c>
      <c r="I1676" s="795">
        <f>+J1663*G1676+E1676</f>
        <v>6927763.8451543888</v>
      </c>
      <c r="J1676" s="792">
        <f t="shared" si="156"/>
        <v>0</v>
      </c>
      <c r="K1676" s="792"/>
      <c r="L1676" s="812"/>
      <c r="M1676" s="792">
        <f t="shared" si="150"/>
        <v>0</v>
      </c>
      <c r="N1676" s="812"/>
      <c r="O1676" s="792">
        <f t="shared" si="151"/>
        <v>0</v>
      </c>
      <c r="P1676" s="792">
        <f t="shared" si="152"/>
        <v>0</v>
      </c>
    </row>
    <row r="1677" spans="2:16">
      <c r="C1677" s="788">
        <f>IF(D1661="","-",+C1676+1)</f>
        <v>2025</v>
      </c>
      <c r="D1677" s="736">
        <f t="shared" si="153"/>
        <v>37135648.040142857</v>
      </c>
      <c r="E1677" s="789">
        <f t="shared" si="155"/>
        <v>1456299.9231428572</v>
      </c>
      <c r="F1677" s="789">
        <f t="shared" si="149"/>
        <v>35679348.116999999</v>
      </c>
      <c r="G1677" s="736">
        <f t="shared" si="154"/>
        <v>36407498.078571424</v>
      </c>
      <c r="H1677" s="794">
        <f>+J1662*G1677+E1677</f>
        <v>6717322.9250770211</v>
      </c>
      <c r="I1677" s="795">
        <f>+J1663*G1677+E1677</f>
        <v>6717322.9250770211</v>
      </c>
      <c r="J1677" s="792">
        <f t="shared" si="156"/>
        <v>0</v>
      </c>
      <c r="K1677" s="792"/>
      <c r="L1677" s="812"/>
      <c r="M1677" s="792">
        <f t="shared" si="150"/>
        <v>0</v>
      </c>
      <c r="N1677" s="812"/>
      <c r="O1677" s="792">
        <f t="shared" si="151"/>
        <v>0</v>
      </c>
      <c r="P1677" s="792">
        <f t="shared" si="152"/>
        <v>0</v>
      </c>
    </row>
    <row r="1678" spans="2:16">
      <c r="C1678" s="788">
        <f>IF(D1661="","-",+C1677+1)</f>
        <v>2026</v>
      </c>
      <c r="D1678" s="736">
        <f t="shared" si="153"/>
        <v>35679348.116999999</v>
      </c>
      <c r="E1678" s="789">
        <f t="shared" si="155"/>
        <v>1456299.9231428572</v>
      </c>
      <c r="F1678" s="789">
        <f t="shared" si="149"/>
        <v>34223048.193857141</v>
      </c>
      <c r="G1678" s="736">
        <f t="shared" si="154"/>
        <v>34951198.155428573</v>
      </c>
      <c r="H1678" s="794">
        <f>+J1662*G1678+E1678</f>
        <v>6506882.0049996553</v>
      </c>
      <c r="I1678" s="795">
        <f>+J1663*G1678+E1678</f>
        <v>6506882.0049996553</v>
      </c>
      <c r="J1678" s="792">
        <f t="shared" si="156"/>
        <v>0</v>
      </c>
      <c r="K1678" s="792"/>
      <c r="L1678" s="812"/>
      <c r="M1678" s="792">
        <f t="shared" si="150"/>
        <v>0</v>
      </c>
      <c r="N1678" s="812"/>
      <c r="O1678" s="792">
        <f t="shared" si="151"/>
        <v>0</v>
      </c>
      <c r="P1678" s="792">
        <f t="shared" si="152"/>
        <v>0</v>
      </c>
    </row>
    <row r="1679" spans="2:16">
      <c r="C1679" s="788">
        <f>IF(D1661="","-",+C1678+1)</f>
        <v>2027</v>
      </c>
      <c r="D1679" s="736">
        <f t="shared" si="153"/>
        <v>34223048.193857141</v>
      </c>
      <c r="E1679" s="789">
        <f t="shared" si="155"/>
        <v>1456299.9231428572</v>
      </c>
      <c r="F1679" s="789">
        <f t="shared" si="149"/>
        <v>32766748.270714283</v>
      </c>
      <c r="G1679" s="736">
        <f t="shared" si="154"/>
        <v>33494898.232285712</v>
      </c>
      <c r="H1679" s="794">
        <f>+J1662*G1679+E1679</f>
        <v>6296441.0849222885</v>
      </c>
      <c r="I1679" s="795">
        <f>+J1663*G1679+E1679</f>
        <v>6296441.0849222885</v>
      </c>
      <c r="J1679" s="792">
        <f t="shared" si="156"/>
        <v>0</v>
      </c>
      <c r="K1679" s="792"/>
      <c r="L1679" s="812"/>
      <c r="M1679" s="792">
        <f t="shared" si="150"/>
        <v>0</v>
      </c>
      <c r="N1679" s="812"/>
      <c r="O1679" s="792">
        <f t="shared" si="151"/>
        <v>0</v>
      </c>
      <c r="P1679" s="792">
        <f t="shared" si="152"/>
        <v>0</v>
      </c>
    </row>
    <row r="1680" spans="2:16">
      <c r="C1680" s="788">
        <f>IF(D1661="","-",+C1679+1)</f>
        <v>2028</v>
      </c>
      <c r="D1680" s="736">
        <f t="shared" si="153"/>
        <v>32766748.270714283</v>
      </c>
      <c r="E1680" s="789">
        <f t="shared" si="155"/>
        <v>1456299.9231428572</v>
      </c>
      <c r="F1680" s="789">
        <f t="shared" si="149"/>
        <v>31310448.347571425</v>
      </c>
      <c r="G1680" s="736">
        <f t="shared" si="154"/>
        <v>32038598.309142854</v>
      </c>
      <c r="H1680" s="794">
        <f>+J1662*G1680+E1680</f>
        <v>6086000.1648449218</v>
      </c>
      <c r="I1680" s="795">
        <f>+J1663*G1680+E1680</f>
        <v>6086000.1648449218</v>
      </c>
      <c r="J1680" s="792">
        <f t="shared" si="156"/>
        <v>0</v>
      </c>
      <c r="K1680" s="792"/>
      <c r="L1680" s="812"/>
      <c r="M1680" s="792">
        <f t="shared" si="150"/>
        <v>0</v>
      </c>
      <c r="N1680" s="812"/>
      <c r="O1680" s="792">
        <f t="shared" si="151"/>
        <v>0</v>
      </c>
      <c r="P1680" s="792">
        <f t="shared" si="152"/>
        <v>0</v>
      </c>
    </row>
    <row r="1681" spans="3:16">
      <c r="C1681" s="788">
        <f>IF(D1661="","-",+C1680+1)</f>
        <v>2029</v>
      </c>
      <c r="D1681" s="736">
        <f t="shared" si="153"/>
        <v>31310448.347571425</v>
      </c>
      <c r="E1681" s="789">
        <f t="shared" si="155"/>
        <v>1456299.9231428572</v>
      </c>
      <c r="F1681" s="789">
        <f t="shared" si="149"/>
        <v>29854148.424428567</v>
      </c>
      <c r="G1681" s="736">
        <f t="shared" si="154"/>
        <v>30582298.385999996</v>
      </c>
      <c r="H1681" s="794">
        <f>+J1662*G1681+E1681</f>
        <v>5875559.244767555</v>
      </c>
      <c r="I1681" s="795">
        <f>+J1663*G1681+E1681</f>
        <v>5875559.244767555</v>
      </c>
      <c r="J1681" s="792">
        <f t="shared" si="156"/>
        <v>0</v>
      </c>
      <c r="K1681" s="792"/>
      <c r="L1681" s="812"/>
      <c r="M1681" s="792">
        <f t="shared" si="150"/>
        <v>0</v>
      </c>
      <c r="N1681" s="812"/>
      <c r="O1681" s="792">
        <f t="shared" si="151"/>
        <v>0</v>
      </c>
      <c r="P1681" s="792">
        <f t="shared" si="152"/>
        <v>0</v>
      </c>
    </row>
    <row r="1682" spans="3:16">
      <c r="C1682" s="788">
        <f>IF(D1661="","-",+C1681+1)</f>
        <v>2030</v>
      </c>
      <c r="D1682" s="736">
        <f t="shared" si="153"/>
        <v>29854148.424428567</v>
      </c>
      <c r="E1682" s="789">
        <f t="shared" si="155"/>
        <v>1456299.9231428572</v>
      </c>
      <c r="F1682" s="789">
        <f t="shared" si="149"/>
        <v>28397848.501285709</v>
      </c>
      <c r="G1682" s="736">
        <f t="shared" si="154"/>
        <v>29125998.462857138</v>
      </c>
      <c r="H1682" s="794">
        <f>+J1662*G1682+E1682</f>
        <v>5665118.3246901883</v>
      </c>
      <c r="I1682" s="795">
        <f>+J1663*G1682+E1682</f>
        <v>5665118.3246901883</v>
      </c>
      <c r="J1682" s="792">
        <f t="shared" si="156"/>
        <v>0</v>
      </c>
      <c r="K1682" s="792"/>
      <c r="L1682" s="812"/>
      <c r="M1682" s="792">
        <f t="shared" si="150"/>
        <v>0</v>
      </c>
      <c r="N1682" s="812"/>
      <c r="O1682" s="792">
        <f t="shared" si="151"/>
        <v>0</v>
      </c>
      <c r="P1682" s="792">
        <f t="shared" si="152"/>
        <v>0</v>
      </c>
    </row>
    <row r="1683" spans="3:16">
      <c r="C1683" s="788">
        <f>IF(D1661="","-",+C1682+1)</f>
        <v>2031</v>
      </c>
      <c r="D1683" s="736">
        <f t="shared" si="153"/>
        <v>28397848.501285709</v>
      </c>
      <c r="E1683" s="789">
        <f t="shared" si="155"/>
        <v>1456299.9231428572</v>
      </c>
      <c r="F1683" s="789">
        <f t="shared" si="149"/>
        <v>26941548.578142852</v>
      </c>
      <c r="G1683" s="736">
        <f t="shared" si="154"/>
        <v>27669698.539714281</v>
      </c>
      <c r="H1683" s="794">
        <f>+J1662*G1683+E1683</f>
        <v>5454677.4046128215</v>
      </c>
      <c r="I1683" s="795">
        <f>+J1663*G1683+E1683</f>
        <v>5454677.4046128215</v>
      </c>
      <c r="J1683" s="792">
        <f t="shared" si="156"/>
        <v>0</v>
      </c>
      <c r="K1683" s="792"/>
      <c r="L1683" s="812"/>
      <c r="M1683" s="792">
        <f t="shared" si="150"/>
        <v>0</v>
      </c>
      <c r="N1683" s="812"/>
      <c r="O1683" s="792">
        <f t="shared" si="151"/>
        <v>0</v>
      </c>
      <c r="P1683" s="792">
        <f t="shared" si="152"/>
        <v>0</v>
      </c>
    </row>
    <row r="1684" spans="3:16">
      <c r="C1684" s="788">
        <f>IF(D1661="","-",+C1683+1)</f>
        <v>2032</v>
      </c>
      <c r="D1684" s="736">
        <f t="shared" si="153"/>
        <v>26941548.578142852</v>
      </c>
      <c r="E1684" s="789">
        <f t="shared" si="155"/>
        <v>1456299.9231428572</v>
      </c>
      <c r="F1684" s="789">
        <f t="shared" si="149"/>
        <v>25485248.654999994</v>
      </c>
      <c r="G1684" s="736">
        <f t="shared" si="154"/>
        <v>26213398.616571423</v>
      </c>
      <c r="H1684" s="794">
        <f>+J1662*G1684+E1684</f>
        <v>5244236.4845354548</v>
      </c>
      <c r="I1684" s="795">
        <f>+J1663*G1684+E1684</f>
        <v>5244236.4845354548</v>
      </c>
      <c r="J1684" s="792">
        <f t="shared" si="156"/>
        <v>0</v>
      </c>
      <c r="K1684" s="792"/>
      <c r="L1684" s="812"/>
      <c r="M1684" s="792">
        <f t="shared" si="150"/>
        <v>0</v>
      </c>
      <c r="N1684" s="812"/>
      <c r="O1684" s="792">
        <f t="shared" si="151"/>
        <v>0</v>
      </c>
      <c r="P1684" s="792">
        <f t="shared" si="152"/>
        <v>0</v>
      </c>
    </row>
    <row r="1685" spans="3:16">
      <c r="C1685" s="788">
        <f>IF(D1661="","-",+C1684+1)</f>
        <v>2033</v>
      </c>
      <c r="D1685" s="736">
        <f t="shared" si="153"/>
        <v>25485248.654999994</v>
      </c>
      <c r="E1685" s="789">
        <f t="shared" si="155"/>
        <v>1456299.9231428572</v>
      </c>
      <c r="F1685" s="789">
        <f t="shared" si="149"/>
        <v>24028948.731857136</v>
      </c>
      <c r="G1685" s="736">
        <f t="shared" si="154"/>
        <v>24757098.693428565</v>
      </c>
      <c r="H1685" s="794">
        <f>+J1662*G1685+E1685</f>
        <v>5033795.564458088</v>
      </c>
      <c r="I1685" s="795">
        <f>+J1663*G1685+E1685</f>
        <v>5033795.564458088</v>
      </c>
      <c r="J1685" s="792">
        <f t="shared" si="156"/>
        <v>0</v>
      </c>
      <c r="K1685" s="792"/>
      <c r="L1685" s="812"/>
      <c r="M1685" s="792">
        <f t="shared" si="150"/>
        <v>0</v>
      </c>
      <c r="N1685" s="812"/>
      <c r="O1685" s="792">
        <f t="shared" si="151"/>
        <v>0</v>
      </c>
      <c r="P1685" s="792">
        <f t="shared" si="152"/>
        <v>0</v>
      </c>
    </row>
    <row r="1686" spans="3:16">
      <c r="C1686" s="788">
        <f>IF(D1661="","-",+C1685+1)</f>
        <v>2034</v>
      </c>
      <c r="D1686" s="736">
        <f t="shared" si="153"/>
        <v>24028948.731857136</v>
      </c>
      <c r="E1686" s="789">
        <f t="shared" si="155"/>
        <v>1456299.9231428572</v>
      </c>
      <c r="F1686" s="789">
        <f t="shared" si="149"/>
        <v>22572648.808714278</v>
      </c>
      <c r="G1686" s="736">
        <f t="shared" si="154"/>
        <v>23300798.770285707</v>
      </c>
      <c r="H1686" s="794">
        <f>+J1662*G1686+E1686</f>
        <v>4823354.6443807213</v>
      </c>
      <c r="I1686" s="795">
        <f>+J1663*G1686+E1686</f>
        <v>4823354.6443807213</v>
      </c>
      <c r="J1686" s="792">
        <f t="shared" si="156"/>
        <v>0</v>
      </c>
      <c r="K1686" s="792"/>
      <c r="L1686" s="812"/>
      <c r="M1686" s="792">
        <f t="shared" si="150"/>
        <v>0</v>
      </c>
      <c r="N1686" s="812"/>
      <c r="O1686" s="792">
        <f t="shared" si="151"/>
        <v>0</v>
      </c>
      <c r="P1686" s="792">
        <f t="shared" si="152"/>
        <v>0</v>
      </c>
    </row>
    <row r="1687" spans="3:16">
      <c r="C1687" s="788">
        <f>IF(D1661="","-",+C1686+1)</f>
        <v>2035</v>
      </c>
      <c r="D1687" s="736">
        <f t="shared" si="153"/>
        <v>22572648.808714278</v>
      </c>
      <c r="E1687" s="789">
        <f t="shared" si="155"/>
        <v>1456299.9231428572</v>
      </c>
      <c r="F1687" s="789">
        <f t="shared" si="149"/>
        <v>21116348.88557142</v>
      </c>
      <c r="G1687" s="736">
        <f t="shared" si="154"/>
        <v>21844498.847142849</v>
      </c>
      <c r="H1687" s="794">
        <f>+J1662*G1687+E1687</f>
        <v>4612913.7243033554</v>
      </c>
      <c r="I1687" s="795">
        <f>+J1663*G1687+E1687</f>
        <v>4612913.7243033554</v>
      </c>
      <c r="J1687" s="792">
        <f t="shared" si="156"/>
        <v>0</v>
      </c>
      <c r="K1687" s="792"/>
      <c r="L1687" s="812"/>
      <c r="M1687" s="792">
        <f t="shared" si="150"/>
        <v>0</v>
      </c>
      <c r="N1687" s="812"/>
      <c r="O1687" s="792">
        <f t="shared" si="151"/>
        <v>0</v>
      </c>
      <c r="P1687" s="792">
        <f t="shared" si="152"/>
        <v>0</v>
      </c>
    </row>
    <row r="1688" spans="3:16">
      <c r="C1688" s="788">
        <f>IF(D1661="","-",+C1687+1)</f>
        <v>2036</v>
      </c>
      <c r="D1688" s="736">
        <f t="shared" si="153"/>
        <v>21116348.88557142</v>
      </c>
      <c r="E1688" s="789">
        <f t="shared" si="155"/>
        <v>1456299.9231428572</v>
      </c>
      <c r="F1688" s="789">
        <f t="shared" si="149"/>
        <v>19660048.962428562</v>
      </c>
      <c r="G1688" s="736">
        <f t="shared" si="154"/>
        <v>20388198.923999991</v>
      </c>
      <c r="H1688" s="794">
        <f>+J1662*G1688+E1688</f>
        <v>4402472.8042259887</v>
      </c>
      <c r="I1688" s="795">
        <f>+J1663*G1688+E1688</f>
        <v>4402472.8042259887</v>
      </c>
      <c r="J1688" s="792">
        <f t="shared" si="156"/>
        <v>0</v>
      </c>
      <c r="K1688" s="792"/>
      <c r="L1688" s="812"/>
      <c r="M1688" s="792">
        <f t="shared" si="150"/>
        <v>0</v>
      </c>
      <c r="N1688" s="812"/>
      <c r="O1688" s="792">
        <f t="shared" si="151"/>
        <v>0</v>
      </c>
      <c r="P1688" s="792">
        <f t="shared" si="152"/>
        <v>0</v>
      </c>
    </row>
    <row r="1689" spans="3:16">
      <c r="C1689" s="788">
        <f>IF(D1661="","-",+C1688+1)</f>
        <v>2037</v>
      </c>
      <c r="D1689" s="736">
        <f t="shared" si="153"/>
        <v>19660048.962428562</v>
      </c>
      <c r="E1689" s="789">
        <f t="shared" si="155"/>
        <v>1456299.9231428572</v>
      </c>
      <c r="F1689" s="789">
        <f t="shared" si="149"/>
        <v>18203749.039285704</v>
      </c>
      <c r="G1689" s="736">
        <f t="shared" si="154"/>
        <v>18931899.000857133</v>
      </c>
      <c r="H1689" s="794">
        <f>+J1662*G1689+E1689</f>
        <v>4192031.8841486219</v>
      </c>
      <c r="I1689" s="795">
        <f>+J1663*G1689+E1689</f>
        <v>4192031.8841486219</v>
      </c>
      <c r="J1689" s="792">
        <f t="shared" si="156"/>
        <v>0</v>
      </c>
      <c r="K1689" s="792"/>
      <c r="L1689" s="812"/>
      <c r="M1689" s="792">
        <f t="shared" si="150"/>
        <v>0</v>
      </c>
      <c r="N1689" s="812"/>
      <c r="O1689" s="792">
        <f t="shared" si="151"/>
        <v>0</v>
      </c>
      <c r="P1689" s="792">
        <f t="shared" si="152"/>
        <v>0</v>
      </c>
    </row>
    <row r="1690" spans="3:16">
      <c r="C1690" s="788">
        <f>IF(D1661="","-",+C1689+1)</f>
        <v>2038</v>
      </c>
      <c r="D1690" s="736">
        <f t="shared" si="153"/>
        <v>18203749.039285704</v>
      </c>
      <c r="E1690" s="789">
        <f t="shared" si="155"/>
        <v>1456299.9231428572</v>
      </c>
      <c r="F1690" s="789">
        <f t="shared" si="149"/>
        <v>16747449.116142847</v>
      </c>
      <c r="G1690" s="736">
        <f t="shared" si="154"/>
        <v>17475599.077714276</v>
      </c>
      <c r="H1690" s="794">
        <f>+J1662*G1690+E1690</f>
        <v>3981590.9640712552</v>
      </c>
      <c r="I1690" s="795">
        <f>+J1663*G1690+E1690</f>
        <v>3981590.9640712552</v>
      </c>
      <c r="J1690" s="792">
        <f t="shared" si="156"/>
        <v>0</v>
      </c>
      <c r="K1690" s="792"/>
      <c r="L1690" s="812"/>
      <c r="M1690" s="792">
        <f t="shared" si="150"/>
        <v>0</v>
      </c>
      <c r="N1690" s="812"/>
      <c r="O1690" s="792">
        <f t="shared" si="151"/>
        <v>0</v>
      </c>
      <c r="P1690" s="792">
        <f t="shared" si="152"/>
        <v>0</v>
      </c>
    </row>
    <row r="1691" spans="3:16">
      <c r="C1691" s="788">
        <f>IF(D1661="","-",+C1690+1)</f>
        <v>2039</v>
      </c>
      <c r="D1691" s="736">
        <f t="shared" si="153"/>
        <v>16747449.116142847</v>
      </c>
      <c r="E1691" s="789">
        <f t="shared" si="155"/>
        <v>1456299.9231428572</v>
      </c>
      <c r="F1691" s="789">
        <f t="shared" si="149"/>
        <v>15291149.192999989</v>
      </c>
      <c r="G1691" s="736">
        <f t="shared" si="154"/>
        <v>16019299.154571418</v>
      </c>
      <c r="H1691" s="794">
        <f>+J1662*G1691+E1691</f>
        <v>3771150.0439938884</v>
      </c>
      <c r="I1691" s="795">
        <f>+J1663*G1691+E1691</f>
        <v>3771150.0439938884</v>
      </c>
      <c r="J1691" s="792">
        <f t="shared" si="156"/>
        <v>0</v>
      </c>
      <c r="K1691" s="792"/>
      <c r="L1691" s="812"/>
      <c r="M1691" s="792">
        <f t="shared" si="150"/>
        <v>0</v>
      </c>
      <c r="N1691" s="812"/>
      <c r="O1691" s="792">
        <f t="shared" si="151"/>
        <v>0</v>
      </c>
      <c r="P1691" s="792">
        <f t="shared" si="152"/>
        <v>0</v>
      </c>
    </row>
    <row r="1692" spans="3:16">
      <c r="C1692" s="788">
        <f>IF(D1661="","-",+C1691+1)</f>
        <v>2040</v>
      </c>
      <c r="D1692" s="736">
        <f t="shared" si="153"/>
        <v>15291149.192999989</v>
      </c>
      <c r="E1692" s="789">
        <f t="shared" si="155"/>
        <v>1456299.9231428572</v>
      </c>
      <c r="F1692" s="789">
        <f t="shared" si="149"/>
        <v>13834849.269857131</v>
      </c>
      <c r="G1692" s="736">
        <f t="shared" si="154"/>
        <v>14562999.23142856</v>
      </c>
      <c r="H1692" s="794">
        <f>+J1662*G1692+E1692</f>
        <v>3560709.1239165217</v>
      </c>
      <c r="I1692" s="795">
        <f>+J1663*G1692+E1692</f>
        <v>3560709.1239165217</v>
      </c>
      <c r="J1692" s="792">
        <f t="shared" si="156"/>
        <v>0</v>
      </c>
      <c r="K1692" s="792"/>
      <c r="L1692" s="812"/>
      <c r="M1692" s="792">
        <f t="shared" si="150"/>
        <v>0</v>
      </c>
      <c r="N1692" s="812"/>
      <c r="O1692" s="792">
        <f t="shared" si="151"/>
        <v>0</v>
      </c>
      <c r="P1692" s="792">
        <f t="shared" si="152"/>
        <v>0</v>
      </c>
    </row>
    <row r="1693" spans="3:16">
      <c r="C1693" s="788">
        <f>IF(D1661="","-",+C1692+1)</f>
        <v>2041</v>
      </c>
      <c r="D1693" s="736">
        <f t="shared" si="153"/>
        <v>13834849.269857131</v>
      </c>
      <c r="E1693" s="789">
        <f t="shared" si="155"/>
        <v>1456299.9231428572</v>
      </c>
      <c r="F1693" s="789">
        <f t="shared" si="149"/>
        <v>12378549.346714273</v>
      </c>
      <c r="G1693" s="736">
        <f t="shared" si="154"/>
        <v>13106699.308285702</v>
      </c>
      <c r="H1693" s="794">
        <f>+J1662*G1693+E1693</f>
        <v>3350268.2038391549</v>
      </c>
      <c r="I1693" s="795">
        <f>+J1663*G1693+E1693</f>
        <v>3350268.2038391549</v>
      </c>
      <c r="J1693" s="792">
        <f t="shared" si="156"/>
        <v>0</v>
      </c>
      <c r="K1693" s="792"/>
      <c r="L1693" s="812"/>
      <c r="M1693" s="792">
        <f t="shared" si="150"/>
        <v>0</v>
      </c>
      <c r="N1693" s="812"/>
      <c r="O1693" s="792">
        <f t="shared" si="151"/>
        <v>0</v>
      </c>
      <c r="P1693" s="792">
        <f t="shared" si="152"/>
        <v>0</v>
      </c>
    </row>
    <row r="1694" spans="3:16">
      <c r="C1694" s="788">
        <f>IF(D1661="","-",+C1693+1)</f>
        <v>2042</v>
      </c>
      <c r="D1694" s="736">
        <f t="shared" si="153"/>
        <v>12378549.346714273</v>
      </c>
      <c r="E1694" s="789">
        <f t="shared" si="155"/>
        <v>1456299.9231428572</v>
      </c>
      <c r="F1694" s="789">
        <f t="shared" si="149"/>
        <v>10922249.423571415</v>
      </c>
      <c r="G1694" s="736">
        <f t="shared" si="154"/>
        <v>11650399.385142844</v>
      </c>
      <c r="H1694" s="794">
        <f>+J1662*G1694+E1694</f>
        <v>3139827.2837617882</v>
      </c>
      <c r="I1694" s="795">
        <f>+J1663*G1694+E1694</f>
        <v>3139827.2837617882</v>
      </c>
      <c r="J1694" s="792">
        <f t="shared" si="156"/>
        <v>0</v>
      </c>
      <c r="K1694" s="792"/>
      <c r="L1694" s="812"/>
      <c r="M1694" s="792">
        <f t="shared" si="150"/>
        <v>0</v>
      </c>
      <c r="N1694" s="812"/>
      <c r="O1694" s="792">
        <f t="shared" si="151"/>
        <v>0</v>
      </c>
      <c r="P1694" s="792">
        <f t="shared" si="152"/>
        <v>0</v>
      </c>
    </row>
    <row r="1695" spans="3:16">
      <c r="C1695" s="788">
        <f>IF(D1661="","-",+C1694+1)</f>
        <v>2043</v>
      </c>
      <c r="D1695" s="736">
        <f t="shared" si="153"/>
        <v>10922249.423571415</v>
      </c>
      <c r="E1695" s="789">
        <f t="shared" si="155"/>
        <v>1456299.9231428572</v>
      </c>
      <c r="F1695" s="789">
        <f t="shared" si="149"/>
        <v>9465949.5004285574</v>
      </c>
      <c r="G1695" s="736">
        <f t="shared" si="154"/>
        <v>10194099.461999986</v>
      </c>
      <c r="H1695" s="794">
        <f>+J1662*G1695+E1695</f>
        <v>2929386.3636844214</v>
      </c>
      <c r="I1695" s="795">
        <f>+J1663*G1695+E1695</f>
        <v>2929386.3636844214</v>
      </c>
      <c r="J1695" s="792">
        <f t="shared" si="156"/>
        <v>0</v>
      </c>
      <c r="K1695" s="792"/>
      <c r="L1695" s="812"/>
      <c r="M1695" s="792">
        <f t="shared" si="150"/>
        <v>0</v>
      </c>
      <c r="N1695" s="812"/>
      <c r="O1695" s="792">
        <f t="shared" si="151"/>
        <v>0</v>
      </c>
      <c r="P1695" s="792">
        <f t="shared" si="152"/>
        <v>0</v>
      </c>
    </row>
    <row r="1696" spans="3:16">
      <c r="C1696" s="788">
        <f>IF(D1661="","-",+C1695+1)</f>
        <v>2044</v>
      </c>
      <c r="D1696" s="736">
        <f t="shared" si="153"/>
        <v>9465949.5004285574</v>
      </c>
      <c r="E1696" s="789">
        <f t="shared" si="155"/>
        <v>1456299.9231428572</v>
      </c>
      <c r="F1696" s="789">
        <f t="shared" si="149"/>
        <v>8009649.5772857005</v>
      </c>
      <c r="G1696" s="736">
        <f t="shared" si="154"/>
        <v>8737799.5388571285</v>
      </c>
      <c r="H1696" s="794">
        <f>+J1662*G1696+E1696</f>
        <v>2718945.4436070547</v>
      </c>
      <c r="I1696" s="795">
        <f>+J1663*G1696+E1696</f>
        <v>2718945.4436070547</v>
      </c>
      <c r="J1696" s="792">
        <f t="shared" si="156"/>
        <v>0</v>
      </c>
      <c r="K1696" s="792"/>
      <c r="L1696" s="812"/>
      <c r="M1696" s="792">
        <f t="shared" si="150"/>
        <v>0</v>
      </c>
      <c r="N1696" s="812"/>
      <c r="O1696" s="792">
        <f t="shared" si="151"/>
        <v>0</v>
      </c>
      <c r="P1696" s="792">
        <f t="shared" si="152"/>
        <v>0</v>
      </c>
    </row>
    <row r="1697" spans="3:16">
      <c r="C1697" s="788">
        <f>IF(D1661="","-",+C1696+1)</f>
        <v>2045</v>
      </c>
      <c r="D1697" s="736">
        <f t="shared" si="153"/>
        <v>8009649.5772857005</v>
      </c>
      <c r="E1697" s="789">
        <f t="shared" si="155"/>
        <v>1456299.9231428572</v>
      </c>
      <c r="F1697" s="789">
        <f t="shared" si="149"/>
        <v>6553349.6541428436</v>
      </c>
      <c r="G1697" s="736">
        <f t="shared" si="154"/>
        <v>7281499.6157142725</v>
      </c>
      <c r="H1697" s="794">
        <f>+J1662*G1697+E1697</f>
        <v>2508504.5235296879</v>
      </c>
      <c r="I1697" s="795">
        <f>+J1663*G1697+E1697</f>
        <v>2508504.5235296879</v>
      </c>
      <c r="J1697" s="792">
        <f t="shared" si="156"/>
        <v>0</v>
      </c>
      <c r="K1697" s="792"/>
      <c r="L1697" s="812"/>
      <c r="M1697" s="792">
        <f t="shared" si="150"/>
        <v>0</v>
      </c>
      <c r="N1697" s="812"/>
      <c r="O1697" s="792">
        <f t="shared" si="151"/>
        <v>0</v>
      </c>
      <c r="P1697" s="792">
        <f t="shared" si="152"/>
        <v>0</v>
      </c>
    </row>
    <row r="1698" spans="3:16">
      <c r="C1698" s="788">
        <f>IF(D1661="","-",+C1697+1)</f>
        <v>2046</v>
      </c>
      <c r="D1698" s="736">
        <f t="shared" si="153"/>
        <v>6553349.6541428436</v>
      </c>
      <c r="E1698" s="789">
        <f t="shared" si="155"/>
        <v>1456299.9231428572</v>
      </c>
      <c r="F1698" s="789">
        <f t="shared" si="149"/>
        <v>5097049.7309999866</v>
      </c>
      <c r="G1698" s="736">
        <f t="shared" si="154"/>
        <v>5825199.6925714146</v>
      </c>
      <c r="H1698" s="794">
        <f>+J1662*G1698+E1698</f>
        <v>2298063.6034523216</v>
      </c>
      <c r="I1698" s="795">
        <f>+J1663*G1698+E1698</f>
        <v>2298063.6034523216</v>
      </c>
      <c r="J1698" s="792">
        <f t="shared" si="156"/>
        <v>0</v>
      </c>
      <c r="K1698" s="792"/>
      <c r="L1698" s="812"/>
      <c r="M1698" s="792">
        <f t="shared" si="150"/>
        <v>0</v>
      </c>
      <c r="N1698" s="812"/>
      <c r="O1698" s="792">
        <f t="shared" si="151"/>
        <v>0</v>
      </c>
      <c r="P1698" s="792">
        <f t="shared" si="152"/>
        <v>0</v>
      </c>
    </row>
    <row r="1699" spans="3:16">
      <c r="C1699" s="788">
        <f>IF(D1661="","-",+C1698+1)</f>
        <v>2047</v>
      </c>
      <c r="D1699" s="736">
        <f t="shared" si="153"/>
        <v>5097049.7309999866</v>
      </c>
      <c r="E1699" s="789">
        <f t="shared" si="155"/>
        <v>1456299.9231428572</v>
      </c>
      <c r="F1699" s="789">
        <f t="shared" si="149"/>
        <v>3640749.8078571297</v>
      </c>
      <c r="G1699" s="736">
        <f t="shared" si="154"/>
        <v>4368899.7694285586</v>
      </c>
      <c r="H1699" s="794">
        <f>+J1662*G1699+E1699</f>
        <v>2087622.6833749551</v>
      </c>
      <c r="I1699" s="795">
        <f>+J1663*G1699+E1699</f>
        <v>2087622.6833749551</v>
      </c>
      <c r="J1699" s="792">
        <f t="shared" si="156"/>
        <v>0</v>
      </c>
      <c r="K1699" s="792"/>
      <c r="L1699" s="812"/>
      <c r="M1699" s="792">
        <f t="shared" si="150"/>
        <v>0</v>
      </c>
      <c r="N1699" s="812"/>
      <c r="O1699" s="792">
        <f t="shared" si="151"/>
        <v>0</v>
      </c>
      <c r="P1699" s="792">
        <f t="shared" si="152"/>
        <v>0</v>
      </c>
    </row>
    <row r="1700" spans="3:16">
      <c r="C1700" s="788">
        <f>IF(D1661="","-",+C1699+1)</f>
        <v>2048</v>
      </c>
      <c r="D1700" s="736">
        <f t="shared" si="153"/>
        <v>3640749.8078571297</v>
      </c>
      <c r="E1700" s="789">
        <f t="shared" si="155"/>
        <v>1456299.9231428572</v>
      </c>
      <c r="F1700" s="789">
        <f t="shared" si="149"/>
        <v>2184449.8847142728</v>
      </c>
      <c r="G1700" s="736">
        <f t="shared" si="154"/>
        <v>2912599.8462857013</v>
      </c>
      <c r="H1700" s="794">
        <f>+J1662*G1700+E1700</f>
        <v>1877181.7632975886</v>
      </c>
      <c r="I1700" s="795">
        <f>+J1663*G1700+E1700</f>
        <v>1877181.7632975886</v>
      </c>
      <c r="J1700" s="792">
        <f t="shared" si="156"/>
        <v>0</v>
      </c>
      <c r="K1700" s="792"/>
      <c r="L1700" s="812"/>
      <c r="M1700" s="792">
        <f t="shared" si="150"/>
        <v>0</v>
      </c>
      <c r="N1700" s="812"/>
      <c r="O1700" s="792">
        <f t="shared" si="151"/>
        <v>0</v>
      </c>
      <c r="P1700" s="792">
        <f t="shared" si="152"/>
        <v>0</v>
      </c>
    </row>
    <row r="1701" spans="3:16">
      <c r="C1701" s="788">
        <f>IF(D1661="","-",+C1700+1)</f>
        <v>2049</v>
      </c>
      <c r="D1701" s="736">
        <f t="shared" si="153"/>
        <v>2184449.8847142728</v>
      </c>
      <c r="E1701" s="789">
        <f t="shared" si="155"/>
        <v>1456299.9231428572</v>
      </c>
      <c r="F1701" s="789">
        <f t="shared" si="149"/>
        <v>728149.96157141565</v>
      </c>
      <c r="G1701" s="736">
        <f t="shared" si="154"/>
        <v>1456299.9231428443</v>
      </c>
      <c r="H1701" s="794">
        <f>+J1662*G1701+E1701</f>
        <v>1666740.8432202218</v>
      </c>
      <c r="I1701" s="795">
        <f>+J1663*G1701+E1701</f>
        <v>1666740.8432202218</v>
      </c>
      <c r="J1701" s="792">
        <f t="shared" si="156"/>
        <v>0</v>
      </c>
      <c r="K1701" s="792"/>
      <c r="L1701" s="812"/>
      <c r="M1701" s="792">
        <f t="shared" si="150"/>
        <v>0</v>
      </c>
      <c r="N1701" s="812"/>
      <c r="O1701" s="792">
        <f t="shared" si="151"/>
        <v>0</v>
      </c>
      <c r="P1701" s="792">
        <f t="shared" si="152"/>
        <v>0</v>
      </c>
    </row>
    <row r="1702" spans="3:16">
      <c r="C1702" s="788">
        <f>IF(D1661="","-",+C1701+1)</f>
        <v>2050</v>
      </c>
      <c r="D1702" s="736">
        <f t="shared" si="153"/>
        <v>728149.96157141565</v>
      </c>
      <c r="E1702" s="789">
        <f t="shared" si="155"/>
        <v>728149.96157141565</v>
      </c>
      <c r="F1702" s="789">
        <f t="shared" si="149"/>
        <v>0</v>
      </c>
      <c r="G1702" s="736">
        <f t="shared" si="154"/>
        <v>364074.98078570783</v>
      </c>
      <c r="H1702" s="794">
        <f>+J1662*G1702+E1702</f>
        <v>780760.19159075641</v>
      </c>
      <c r="I1702" s="795">
        <f>+J1663*G1702+E1702</f>
        <v>780760.19159075641</v>
      </c>
      <c r="J1702" s="792">
        <f t="shared" si="156"/>
        <v>0</v>
      </c>
      <c r="K1702" s="792"/>
      <c r="L1702" s="812"/>
      <c r="M1702" s="792">
        <f t="shared" si="150"/>
        <v>0</v>
      </c>
      <c r="N1702" s="812"/>
      <c r="O1702" s="792">
        <f t="shared" si="151"/>
        <v>0</v>
      </c>
      <c r="P1702" s="792">
        <f t="shared" si="152"/>
        <v>0</v>
      </c>
    </row>
    <row r="1703" spans="3:16">
      <c r="C1703" s="788">
        <f>IF(D1661="","-",+C1702+1)</f>
        <v>2051</v>
      </c>
      <c r="D1703" s="736">
        <f t="shared" si="153"/>
        <v>0</v>
      </c>
      <c r="E1703" s="789">
        <f t="shared" si="155"/>
        <v>0</v>
      </c>
      <c r="F1703" s="789">
        <f t="shared" si="149"/>
        <v>0</v>
      </c>
      <c r="G1703" s="736">
        <f t="shared" si="154"/>
        <v>0</v>
      </c>
      <c r="H1703" s="794">
        <f>+J1662*G1703+E1703</f>
        <v>0</v>
      </c>
      <c r="I1703" s="795">
        <f>+J1663*G1703+E1703</f>
        <v>0</v>
      </c>
      <c r="J1703" s="792">
        <f t="shared" si="156"/>
        <v>0</v>
      </c>
      <c r="K1703" s="792"/>
      <c r="L1703" s="812"/>
      <c r="M1703" s="792">
        <f t="shared" si="150"/>
        <v>0</v>
      </c>
      <c r="N1703" s="812"/>
      <c r="O1703" s="792">
        <f t="shared" si="151"/>
        <v>0</v>
      </c>
      <c r="P1703" s="792">
        <f t="shared" si="152"/>
        <v>0</v>
      </c>
    </row>
    <row r="1704" spans="3:16">
      <c r="C1704" s="788">
        <f>IF(D1661="","-",+C1703+1)</f>
        <v>2052</v>
      </c>
      <c r="D1704" s="736">
        <f t="shared" si="153"/>
        <v>0</v>
      </c>
      <c r="E1704" s="789">
        <f t="shared" si="155"/>
        <v>0</v>
      </c>
      <c r="F1704" s="789">
        <f t="shared" si="149"/>
        <v>0</v>
      </c>
      <c r="G1704" s="736">
        <f t="shared" si="154"/>
        <v>0</v>
      </c>
      <c r="H1704" s="794">
        <f>+J1662*G1704+E1704</f>
        <v>0</v>
      </c>
      <c r="I1704" s="795">
        <f>+J1663*G1704+E1704</f>
        <v>0</v>
      </c>
      <c r="J1704" s="792">
        <f t="shared" si="156"/>
        <v>0</v>
      </c>
      <c r="K1704" s="792"/>
      <c r="L1704" s="812"/>
      <c r="M1704" s="792">
        <f t="shared" si="150"/>
        <v>0</v>
      </c>
      <c r="N1704" s="812"/>
      <c r="O1704" s="792">
        <f t="shared" si="151"/>
        <v>0</v>
      </c>
      <c r="P1704" s="792">
        <f t="shared" si="152"/>
        <v>0</v>
      </c>
    </row>
    <row r="1705" spans="3:16">
      <c r="C1705" s="788">
        <f>IF(D1661="","-",+C1704+1)</f>
        <v>2053</v>
      </c>
      <c r="D1705" s="736">
        <f t="shared" si="153"/>
        <v>0</v>
      </c>
      <c r="E1705" s="789">
        <f t="shared" si="155"/>
        <v>0</v>
      </c>
      <c r="F1705" s="789">
        <f t="shared" si="149"/>
        <v>0</v>
      </c>
      <c r="G1705" s="736">
        <f t="shared" si="154"/>
        <v>0</v>
      </c>
      <c r="H1705" s="794">
        <f>+J1662*G1705+E1705</f>
        <v>0</v>
      </c>
      <c r="I1705" s="795">
        <f>+J1663*G1705+E1705</f>
        <v>0</v>
      </c>
      <c r="J1705" s="792">
        <f t="shared" si="156"/>
        <v>0</v>
      </c>
      <c r="K1705" s="792"/>
      <c r="L1705" s="812"/>
      <c r="M1705" s="792">
        <f t="shared" si="150"/>
        <v>0</v>
      </c>
      <c r="N1705" s="812"/>
      <c r="O1705" s="792">
        <f t="shared" si="151"/>
        <v>0</v>
      </c>
      <c r="P1705" s="792">
        <f t="shared" si="152"/>
        <v>0</v>
      </c>
    </row>
    <row r="1706" spans="3:16">
      <c r="C1706" s="788">
        <f>IF(D1661="","-",+C1705+1)</f>
        <v>2054</v>
      </c>
      <c r="D1706" s="736">
        <f t="shared" si="153"/>
        <v>0</v>
      </c>
      <c r="E1706" s="789">
        <f t="shared" si="155"/>
        <v>0</v>
      </c>
      <c r="F1706" s="789">
        <f t="shared" si="149"/>
        <v>0</v>
      </c>
      <c r="G1706" s="736">
        <f t="shared" si="154"/>
        <v>0</v>
      </c>
      <c r="H1706" s="794">
        <f>+J1662*G1706+E1706</f>
        <v>0</v>
      </c>
      <c r="I1706" s="795">
        <f>+J1663*G1706+E1706</f>
        <v>0</v>
      </c>
      <c r="J1706" s="792">
        <f t="shared" si="156"/>
        <v>0</v>
      </c>
      <c r="K1706" s="792"/>
      <c r="L1706" s="812"/>
      <c r="M1706" s="792">
        <f t="shared" si="150"/>
        <v>0</v>
      </c>
      <c r="N1706" s="812"/>
      <c r="O1706" s="792">
        <f t="shared" si="151"/>
        <v>0</v>
      </c>
      <c r="P1706" s="792">
        <f t="shared" si="152"/>
        <v>0</v>
      </c>
    </row>
    <row r="1707" spans="3:16">
      <c r="C1707" s="788">
        <f>IF(D1661="","-",+C1706+1)</f>
        <v>2055</v>
      </c>
      <c r="D1707" s="736">
        <f t="shared" si="153"/>
        <v>0</v>
      </c>
      <c r="E1707" s="789">
        <f t="shared" si="155"/>
        <v>0</v>
      </c>
      <c r="F1707" s="789">
        <f t="shared" si="149"/>
        <v>0</v>
      </c>
      <c r="G1707" s="736">
        <f t="shared" si="154"/>
        <v>0</v>
      </c>
      <c r="H1707" s="794">
        <f>+J1662*G1707+E1707</f>
        <v>0</v>
      </c>
      <c r="I1707" s="795">
        <f>+J1663*G1707+E1707</f>
        <v>0</v>
      </c>
      <c r="J1707" s="792">
        <f t="shared" si="156"/>
        <v>0</v>
      </c>
      <c r="K1707" s="792"/>
      <c r="L1707" s="812"/>
      <c r="M1707" s="792">
        <f t="shared" si="150"/>
        <v>0</v>
      </c>
      <c r="N1707" s="812"/>
      <c r="O1707" s="792">
        <f t="shared" si="151"/>
        <v>0</v>
      </c>
      <c r="P1707" s="792">
        <f t="shared" si="152"/>
        <v>0</v>
      </c>
    </row>
    <row r="1708" spans="3:16">
      <c r="C1708" s="788">
        <f>IF(D1661="","-",+C1707+1)</f>
        <v>2056</v>
      </c>
      <c r="D1708" s="736">
        <f t="shared" si="153"/>
        <v>0</v>
      </c>
      <c r="E1708" s="789">
        <f t="shared" si="155"/>
        <v>0</v>
      </c>
      <c r="F1708" s="789">
        <f t="shared" si="149"/>
        <v>0</v>
      </c>
      <c r="G1708" s="736">
        <f t="shared" si="154"/>
        <v>0</v>
      </c>
      <c r="H1708" s="794">
        <f>+J1662*G1708+E1708</f>
        <v>0</v>
      </c>
      <c r="I1708" s="795">
        <f>+J1663*G1708+E1708</f>
        <v>0</v>
      </c>
      <c r="J1708" s="792">
        <f t="shared" si="156"/>
        <v>0</v>
      </c>
      <c r="K1708" s="792"/>
      <c r="L1708" s="812"/>
      <c r="M1708" s="792">
        <f t="shared" si="150"/>
        <v>0</v>
      </c>
      <c r="N1708" s="812"/>
      <c r="O1708" s="792">
        <f t="shared" si="151"/>
        <v>0</v>
      </c>
      <c r="P1708" s="792">
        <f t="shared" si="152"/>
        <v>0</v>
      </c>
    </row>
    <row r="1709" spans="3:16">
      <c r="C1709" s="788">
        <f>IF(D1661="","-",+C1708+1)</f>
        <v>2057</v>
      </c>
      <c r="D1709" s="736">
        <f t="shared" si="153"/>
        <v>0</v>
      </c>
      <c r="E1709" s="789">
        <f t="shared" si="155"/>
        <v>0</v>
      </c>
      <c r="F1709" s="789">
        <f t="shared" si="149"/>
        <v>0</v>
      </c>
      <c r="G1709" s="736">
        <f t="shared" si="154"/>
        <v>0</v>
      </c>
      <c r="H1709" s="794">
        <f>+J1662*G1709+E1709</f>
        <v>0</v>
      </c>
      <c r="I1709" s="795">
        <f>+J1663*G1709+E1709</f>
        <v>0</v>
      </c>
      <c r="J1709" s="792">
        <f t="shared" si="156"/>
        <v>0</v>
      </c>
      <c r="K1709" s="792"/>
      <c r="L1709" s="812"/>
      <c r="M1709" s="792">
        <f t="shared" si="150"/>
        <v>0</v>
      </c>
      <c r="N1709" s="812"/>
      <c r="O1709" s="792">
        <f t="shared" si="151"/>
        <v>0</v>
      </c>
      <c r="P1709" s="792">
        <f t="shared" si="152"/>
        <v>0</v>
      </c>
    </row>
    <row r="1710" spans="3:16">
      <c r="C1710" s="788">
        <f>IF(D1661="","-",+C1709+1)</f>
        <v>2058</v>
      </c>
      <c r="D1710" s="736">
        <f t="shared" si="153"/>
        <v>0</v>
      </c>
      <c r="E1710" s="789">
        <f t="shared" si="155"/>
        <v>0</v>
      </c>
      <c r="F1710" s="789">
        <f t="shared" si="149"/>
        <v>0</v>
      </c>
      <c r="G1710" s="736">
        <f t="shared" si="154"/>
        <v>0</v>
      </c>
      <c r="H1710" s="794">
        <f>+J1662*G1710+E1710</f>
        <v>0</v>
      </c>
      <c r="I1710" s="795">
        <f>+J1663*G1710+E1710</f>
        <v>0</v>
      </c>
      <c r="J1710" s="792">
        <f t="shared" si="156"/>
        <v>0</v>
      </c>
      <c r="K1710" s="792"/>
      <c r="L1710" s="812"/>
      <c r="M1710" s="792">
        <f t="shared" si="150"/>
        <v>0</v>
      </c>
      <c r="N1710" s="812"/>
      <c r="O1710" s="792">
        <f t="shared" si="151"/>
        <v>0</v>
      </c>
      <c r="P1710" s="792">
        <f t="shared" si="152"/>
        <v>0</v>
      </c>
    </row>
    <row r="1711" spans="3:16">
      <c r="C1711" s="788">
        <f>IF(D1661="","-",+C1710+1)</f>
        <v>2059</v>
      </c>
      <c r="D1711" s="736">
        <f t="shared" si="153"/>
        <v>0</v>
      </c>
      <c r="E1711" s="789">
        <f t="shared" si="155"/>
        <v>0</v>
      </c>
      <c r="F1711" s="789">
        <f t="shared" si="149"/>
        <v>0</v>
      </c>
      <c r="G1711" s="736">
        <f t="shared" si="154"/>
        <v>0</v>
      </c>
      <c r="H1711" s="794">
        <f>+J1662*G1711+E1711</f>
        <v>0</v>
      </c>
      <c r="I1711" s="795">
        <f>+J1663*G1711+E1711</f>
        <v>0</v>
      </c>
      <c r="J1711" s="792">
        <f t="shared" si="156"/>
        <v>0</v>
      </c>
      <c r="K1711" s="792"/>
      <c r="L1711" s="812"/>
      <c r="M1711" s="792">
        <f t="shared" si="150"/>
        <v>0</v>
      </c>
      <c r="N1711" s="812"/>
      <c r="O1711" s="792">
        <f t="shared" si="151"/>
        <v>0</v>
      </c>
      <c r="P1711" s="792">
        <f t="shared" si="152"/>
        <v>0</v>
      </c>
    </row>
    <row r="1712" spans="3:16">
      <c r="C1712" s="788">
        <f>IF(D1661="","-",+C1711+1)</f>
        <v>2060</v>
      </c>
      <c r="D1712" s="736">
        <f t="shared" si="153"/>
        <v>0</v>
      </c>
      <c r="E1712" s="789">
        <f t="shared" si="155"/>
        <v>0</v>
      </c>
      <c r="F1712" s="789">
        <f t="shared" si="149"/>
        <v>0</v>
      </c>
      <c r="G1712" s="736">
        <f t="shared" si="154"/>
        <v>0</v>
      </c>
      <c r="H1712" s="794">
        <f>+J1662*G1712+E1712</f>
        <v>0</v>
      </c>
      <c r="I1712" s="795">
        <f>+J1663*G1712+E1712</f>
        <v>0</v>
      </c>
      <c r="J1712" s="792">
        <f t="shared" si="156"/>
        <v>0</v>
      </c>
      <c r="K1712" s="792"/>
      <c r="L1712" s="812"/>
      <c r="M1712" s="792">
        <f t="shared" si="150"/>
        <v>0</v>
      </c>
      <c r="N1712" s="812"/>
      <c r="O1712" s="792">
        <f t="shared" si="151"/>
        <v>0</v>
      </c>
      <c r="P1712" s="792">
        <f t="shared" si="152"/>
        <v>0</v>
      </c>
    </row>
    <row r="1713" spans="3:16">
      <c r="C1713" s="788">
        <f>IF(D1661="","-",+C1712+1)</f>
        <v>2061</v>
      </c>
      <c r="D1713" s="736">
        <f t="shared" si="153"/>
        <v>0</v>
      </c>
      <c r="E1713" s="789">
        <f t="shared" si="155"/>
        <v>0</v>
      </c>
      <c r="F1713" s="789">
        <f t="shared" si="149"/>
        <v>0</v>
      </c>
      <c r="G1713" s="736">
        <f t="shared" si="154"/>
        <v>0</v>
      </c>
      <c r="H1713" s="794">
        <f>+J1662*G1713+E1713</f>
        <v>0</v>
      </c>
      <c r="I1713" s="795">
        <f>+J1663*G1713+E1713</f>
        <v>0</v>
      </c>
      <c r="J1713" s="792">
        <f t="shared" si="156"/>
        <v>0</v>
      </c>
      <c r="K1713" s="792"/>
      <c r="L1713" s="812"/>
      <c r="M1713" s="792">
        <f t="shared" si="150"/>
        <v>0</v>
      </c>
      <c r="N1713" s="812"/>
      <c r="O1713" s="792">
        <f t="shared" si="151"/>
        <v>0</v>
      </c>
      <c r="P1713" s="792">
        <f t="shared" si="152"/>
        <v>0</v>
      </c>
    </row>
    <row r="1714" spans="3:16">
      <c r="C1714" s="788">
        <f>IF(D1661="","-",+C1713+1)</f>
        <v>2062</v>
      </c>
      <c r="D1714" s="736">
        <f t="shared" si="153"/>
        <v>0</v>
      </c>
      <c r="E1714" s="789">
        <f t="shared" si="155"/>
        <v>0</v>
      </c>
      <c r="F1714" s="789">
        <f t="shared" si="149"/>
        <v>0</v>
      </c>
      <c r="G1714" s="736">
        <f t="shared" si="154"/>
        <v>0</v>
      </c>
      <c r="H1714" s="794">
        <f>+J1662*G1714+E1714</f>
        <v>0</v>
      </c>
      <c r="I1714" s="795">
        <f>+J1663*G1714+E1714</f>
        <v>0</v>
      </c>
      <c r="J1714" s="792">
        <f t="shared" si="156"/>
        <v>0</v>
      </c>
      <c r="K1714" s="792"/>
      <c r="L1714" s="812"/>
      <c r="M1714" s="792">
        <f t="shared" si="150"/>
        <v>0</v>
      </c>
      <c r="N1714" s="812"/>
      <c r="O1714" s="792">
        <f t="shared" si="151"/>
        <v>0</v>
      </c>
      <c r="P1714" s="792">
        <f t="shared" si="152"/>
        <v>0</v>
      </c>
    </row>
    <row r="1715" spans="3:16">
      <c r="C1715" s="788">
        <f>IF(D1661="","-",+C1714+1)</f>
        <v>2063</v>
      </c>
      <c r="D1715" s="736">
        <f t="shared" si="153"/>
        <v>0</v>
      </c>
      <c r="E1715" s="789">
        <f t="shared" si="155"/>
        <v>0</v>
      </c>
      <c r="F1715" s="789">
        <f t="shared" si="149"/>
        <v>0</v>
      </c>
      <c r="G1715" s="736">
        <f t="shared" si="154"/>
        <v>0</v>
      </c>
      <c r="H1715" s="794">
        <f>+J1662*G1715+E1715</f>
        <v>0</v>
      </c>
      <c r="I1715" s="795">
        <f>+J1663*G1715+E1715</f>
        <v>0</v>
      </c>
      <c r="J1715" s="792">
        <f t="shared" si="156"/>
        <v>0</v>
      </c>
      <c r="K1715" s="792"/>
      <c r="L1715" s="812"/>
      <c r="M1715" s="792">
        <f t="shared" si="150"/>
        <v>0</v>
      </c>
      <c r="N1715" s="812"/>
      <c r="O1715" s="792">
        <f t="shared" si="151"/>
        <v>0</v>
      </c>
      <c r="P1715" s="792">
        <f t="shared" si="152"/>
        <v>0</v>
      </c>
    </row>
    <row r="1716" spans="3:16">
      <c r="C1716" s="788">
        <f>IF(D1661="","-",+C1715+1)</f>
        <v>2064</v>
      </c>
      <c r="D1716" s="736">
        <f t="shared" si="153"/>
        <v>0</v>
      </c>
      <c r="E1716" s="789">
        <f t="shared" si="155"/>
        <v>0</v>
      </c>
      <c r="F1716" s="789">
        <f t="shared" si="149"/>
        <v>0</v>
      </c>
      <c r="G1716" s="736">
        <f t="shared" si="154"/>
        <v>0</v>
      </c>
      <c r="H1716" s="794">
        <f>+J1662*G1716+E1716</f>
        <v>0</v>
      </c>
      <c r="I1716" s="795">
        <f>+J1663*G1716+E1716</f>
        <v>0</v>
      </c>
      <c r="J1716" s="792">
        <f t="shared" si="156"/>
        <v>0</v>
      </c>
      <c r="K1716" s="792"/>
      <c r="L1716" s="812"/>
      <c r="M1716" s="792">
        <f t="shared" si="150"/>
        <v>0</v>
      </c>
      <c r="N1716" s="812"/>
      <c r="O1716" s="792">
        <f t="shared" si="151"/>
        <v>0</v>
      </c>
      <c r="P1716" s="792">
        <f t="shared" si="152"/>
        <v>0</v>
      </c>
    </row>
    <row r="1717" spans="3:16">
      <c r="C1717" s="788">
        <f>IF(D1661="","-",+C1716+1)</f>
        <v>2065</v>
      </c>
      <c r="D1717" s="736">
        <f t="shared" si="153"/>
        <v>0</v>
      </c>
      <c r="E1717" s="789">
        <f t="shared" si="155"/>
        <v>0</v>
      </c>
      <c r="F1717" s="789">
        <f t="shared" si="149"/>
        <v>0</v>
      </c>
      <c r="G1717" s="736">
        <f t="shared" si="154"/>
        <v>0</v>
      </c>
      <c r="H1717" s="794">
        <f>+J1662*G1717+E1717</f>
        <v>0</v>
      </c>
      <c r="I1717" s="795">
        <f>+J1663*G1717+E1717</f>
        <v>0</v>
      </c>
      <c r="J1717" s="792">
        <f t="shared" si="156"/>
        <v>0</v>
      </c>
      <c r="K1717" s="792"/>
      <c r="L1717" s="812"/>
      <c r="M1717" s="792">
        <f t="shared" si="150"/>
        <v>0</v>
      </c>
      <c r="N1717" s="812"/>
      <c r="O1717" s="792">
        <f t="shared" si="151"/>
        <v>0</v>
      </c>
      <c r="P1717" s="792">
        <f t="shared" si="152"/>
        <v>0</v>
      </c>
    </row>
    <row r="1718" spans="3:16">
      <c r="C1718" s="788">
        <f>IF(D1661="","-",+C1717+1)</f>
        <v>2066</v>
      </c>
      <c r="D1718" s="736">
        <f t="shared" si="153"/>
        <v>0</v>
      </c>
      <c r="E1718" s="789">
        <f t="shared" si="155"/>
        <v>0</v>
      </c>
      <c r="F1718" s="789">
        <f t="shared" si="149"/>
        <v>0</v>
      </c>
      <c r="G1718" s="736">
        <f t="shared" si="154"/>
        <v>0</v>
      </c>
      <c r="H1718" s="794">
        <f>+J1662*G1718+E1718</f>
        <v>0</v>
      </c>
      <c r="I1718" s="795">
        <f>+J1663*G1718+E1718</f>
        <v>0</v>
      </c>
      <c r="J1718" s="792">
        <f t="shared" si="156"/>
        <v>0</v>
      </c>
      <c r="K1718" s="792"/>
      <c r="L1718" s="812"/>
      <c r="M1718" s="792">
        <f t="shared" si="150"/>
        <v>0</v>
      </c>
      <c r="N1718" s="812"/>
      <c r="O1718" s="792">
        <f t="shared" si="151"/>
        <v>0</v>
      </c>
      <c r="P1718" s="792">
        <f t="shared" si="152"/>
        <v>0</v>
      </c>
    </row>
    <row r="1719" spans="3:16">
      <c r="C1719" s="788">
        <f>IF(D1661="","-",+C1718+1)</f>
        <v>2067</v>
      </c>
      <c r="D1719" s="736">
        <f t="shared" si="153"/>
        <v>0</v>
      </c>
      <c r="E1719" s="789">
        <f t="shared" si="155"/>
        <v>0</v>
      </c>
      <c r="F1719" s="789">
        <f t="shared" si="149"/>
        <v>0</v>
      </c>
      <c r="G1719" s="736">
        <f t="shared" si="154"/>
        <v>0</v>
      </c>
      <c r="H1719" s="794">
        <f>+J1662*G1719+E1719</f>
        <v>0</v>
      </c>
      <c r="I1719" s="795">
        <f>+J1663*G1719+E1719</f>
        <v>0</v>
      </c>
      <c r="J1719" s="792">
        <f t="shared" si="156"/>
        <v>0</v>
      </c>
      <c r="K1719" s="792"/>
      <c r="L1719" s="812"/>
      <c r="M1719" s="792">
        <f t="shared" si="150"/>
        <v>0</v>
      </c>
      <c r="N1719" s="812"/>
      <c r="O1719" s="792">
        <f t="shared" si="151"/>
        <v>0</v>
      </c>
      <c r="P1719" s="792">
        <f t="shared" si="152"/>
        <v>0</v>
      </c>
    </row>
    <row r="1720" spans="3:16">
      <c r="C1720" s="788">
        <f>IF(D1661="","-",+C1719+1)</f>
        <v>2068</v>
      </c>
      <c r="D1720" s="736">
        <f t="shared" si="153"/>
        <v>0</v>
      </c>
      <c r="E1720" s="789">
        <f t="shared" si="155"/>
        <v>0</v>
      </c>
      <c r="F1720" s="789">
        <f t="shared" si="149"/>
        <v>0</v>
      </c>
      <c r="G1720" s="736">
        <f t="shared" si="154"/>
        <v>0</v>
      </c>
      <c r="H1720" s="794">
        <f>+J1662*G1720+E1720</f>
        <v>0</v>
      </c>
      <c r="I1720" s="795">
        <f>+J1663*G1720+E1720</f>
        <v>0</v>
      </c>
      <c r="J1720" s="792">
        <f t="shared" si="156"/>
        <v>0</v>
      </c>
      <c r="K1720" s="792"/>
      <c r="L1720" s="812"/>
      <c r="M1720" s="792">
        <f t="shared" si="150"/>
        <v>0</v>
      </c>
      <c r="N1720" s="812"/>
      <c r="O1720" s="792">
        <f t="shared" si="151"/>
        <v>0</v>
      </c>
      <c r="P1720" s="792">
        <f t="shared" si="152"/>
        <v>0</v>
      </c>
    </row>
    <row r="1721" spans="3:16">
      <c r="C1721" s="788">
        <f>IF(D1661="","-",+C1720+1)</f>
        <v>2069</v>
      </c>
      <c r="D1721" s="736">
        <f t="shared" si="153"/>
        <v>0</v>
      </c>
      <c r="E1721" s="789">
        <f t="shared" si="155"/>
        <v>0</v>
      </c>
      <c r="F1721" s="789">
        <f t="shared" si="149"/>
        <v>0</v>
      </c>
      <c r="G1721" s="736">
        <f t="shared" si="154"/>
        <v>0</v>
      </c>
      <c r="H1721" s="794">
        <f>+J1662*G1721+E1721</f>
        <v>0</v>
      </c>
      <c r="I1721" s="795">
        <f>+J1663*G1721+E1721</f>
        <v>0</v>
      </c>
      <c r="J1721" s="792">
        <f t="shared" si="156"/>
        <v>0</v>
      </c>
      <c r="K1721" s="792"/>
      <c r="L1721" s="812"/>
      <c r="M1721" s="792">
        <f t="shared" si="150"/>
        <v>0</v>
      </c>
      <c r="N1721" s="812"/>
      <c r="O1721" s="792">
        <f t="shared" si="151"/>
        <v>0</v>
      </c>
      <c r="P1721" s="792">
        <f t="shared" si="152"/>
        <v>0</v>
      </c>
    </row>
    <row r="1722" spans="3:16">
      <c r="C1722" s="788">
        <f>IF(D1661="","-",+C1721+1)</f>
        <v>2070</v>
      </c>
      <c r="D1722" s="736">
        <f t="shared" si="153"/>
        <v>0</v>
      </c>
      <c r="E1722" s="789">
        <f t="shared" si="155"/>
        <v>0</v>
      </c>
      <c r="F1722" s="789">
        <f t="shared" si="149"/>
        <v>0</v>
      </c>
      <c r="G1722" s="736">
        <f t="shared" si="154"/>
        <v>0</v>
      </c>
      <c r="H1722" s="794">
        <f>+J1662*G1722+E1722</f>
        <v>0</v>
      </c>
      <c r="I1722" s="795">
        <f>+J1663*G1722+E1722</f>
        <v>0</v>
      </c>
      <c r="J1722" s="792">
        <f t="shared" si="156"/>
        <v>0</v>
      </c>
      <c r="K1722" s="792"/>
      <c r="L1722" s="812"/>
      <c r="M1722" s="792">
        <f t="shared" si="150"/>
        <v>0</v>
      </c>
      <c r="N1722" s="812"/>
      <c r="O1722" s="792">
        <f t="shared" si="151"/>
        <v>0</v>
      </c>
      <c r="P1722" s="792">
        <f t="shared" si="152"/>
        <v>0</v>
      </c>
    </row>
    <row r="1723" spans="3:16">
      <c r="C1723" s="788">
        <f>IF(D1661="","-",+C1722+1)</f>
        <v>2071</v>
      </c>
      <c r="D1723" s="736">
        <f t="shared" si="153"/>
        <v>0</v>
      </c>
      <c r="E1723" s="789">
        <f t="shared" si="155"/>
        <v>0</v>
      </c>
      <c r="F1723" s="789">
        <f t="shared" si="149"/>
        <v>0</v>
      </c>
      <c r="G1723" s="736">
        <f t="shared" si="154"/>
        <v>0</v>
      </c>
      <c r="H1723" s="794">
        <f>+J1662*G1723+E1723</f>
        <v>0</v>
      </c>
      <c r="I1723" s="795">
        <f>+J1663*G1723+E1723</f>
        <v>0</v>
      </c>
      <c r="J1723" s="792">
        <f t="shared" si="156"/>
        <v>0</v>
      </c>
      <c r="K1723" s="792"/>
      <c r="L1723" s="812"/>
      <c r="M1723" s="792">
        <f t="shared" si="150"/>
        <v>0</v>
      </c>
      <c r="N1723" s="812"/>
      <c r="O1723" s="792">
        <f t="shared" si="151"/>
        <v>0</v>
      </c>
      <c r="P1723" s="792">
        <f t="shared" si="152"/>
        <v>0</v>
      </c>
    </row>
    <row r="1724" spans="3:16">
      <c r="C1724" s="788">
        <f>IF(D1661="","-",+C1723+1)</f>
        <v>2072</v>
      </c>
      <c r="D1724" s="736">
        <f t="shared" si="153"/>
        <v>0</v>
      </c>
      <c r="E1724" s="789">
        <f t="shared" si="155"/>
        <v>0</v>
      </c>
      <c r="F1724" s="789">
        <f t="shared" si="149"/>
        <v>0</v>
      </c>
      <c r="G1724" s="736">
        <f t="shared" si="154"/>
        <v>0</v>
      </c>
      <c r="H1724" s="794">
        <f>+J1662*G1724+E1724</f>
        <v>0</v>
      </c>
      <c r="I1724" s="795">
        <f>+J1663*G1724+E1724</f>
        <v>0</v>
      </c>
      <c r="J1724" s="792">
        <f t="shared" si="156"/>
        <v>0</v>
      </c>
      <c r="K1724" s="792"/>
      <c r="L1724" s="812"/>
      <c r="M1724" s="792">
        <f t="shared" si="150"/>
        <v>0</v>
      </c>
      <c r="N1724" s="812"/>
      <c r="O1724" s="792">
        <f t="shared" si="151"/>
        <v>0</v>
      </c>
      <c r="P1724" s="792">
        <f t="shared" si="152"/>
        <v>0</v>
      </c>
    </row>
    <row r="1725" spans="3:16">
      <c r="C1725" s="788">
        <f>IF(D1661="","-",+C1724+1)</f>
        <v>2073</v>
      </c>
      <c r="D1725" s="736">
        <f t="shared" si="153"/>
        <v>0</v>
      </c>
      <c r="E1725" s="789">
        <f t="shared" si="155"/>
        <v>0</v>
      </c>
      <c r="F1725" s="789">
        <f t="shared" si="149"/>
        <v>0</v>
      </c>
      <c r="G1725" s="736">
        <f t="shared" si="154"/>
        <v>0</v>
      </c>
      <c r="H1725" s="794">
        <f>+J1662*G1725+E1725</f>
        <v>0</v>
      </c>
      <c r="I1725" s="795">
        <f>+J1663*G1725+E1725</f>
        <v>0</v>
      </c>
      <c r="J1725" s="792">
        <f t="shared" si="156"/>
        <v>0</v>
      </c>
      <c r="K1725" s="792"/>
      <c r="L1725" s="812"/>
      <c r="M1725" s="792">
        <f t="shared" si="150"/>
        <v>0</v>
      </c>
      <c r="N1725" s="812"/>
      <c r="O1725" s="792">
        <f t="shared" si="151"/>
        <v>0</v>
      </c>
      <c r="P1725" s="792">
        <f t="shared" si="152"/>
        <v>0</v>
      </c>
    </row>
    <row r="1726" spans="3:16" ht="13.5" thickBot="1">
      <c r="C1726" s="798">
        <f>IF(D1661="","-",+C1725+1)</f>
        <v>2074</v>
      </c>
      <c r="D1726" s="799">
        <f t="shared" si="153"/>
        <v>0</v>
      </c>
      <c r="E1726" s="800">
        <f>IF(D1726&gt;$J$1055,$J$1055,D1726)</f>
        <v>0</v>
      </c>
      <c r="F1726" s="1322">
        <f t="shared" si="149"/>
        <v>0</v>
      </c>
      <c r="G1726" s="799">
        <f t="shared" si="154"/>
        <v>0</v>
      </c>
      <c r="H1726" s="801">
        <f>+J1662*G1726+E1726</f>
        <v>0</v>
      </c>
      <c r="I1726" s="801">
        <f>+J1663*G1726+E1726</f>
        <v>0</v>
      </c>
      <c r="J1726" s="802">
        <f t="shared" si="156"/>
        <v>0</v>
      </c>
      <c r="K1726" s="792"/>
      <c r="L1726" s="813"/>
      <c r="M1726" s="802">
        <f t="shared" si="150"/>
        <v>0</v>
      </c>
      <c r="N1726" s="813"/>
      <c r="O1726" s="802">
        <f t="shared" si="151"/>
        <v>0</v>
      </c>
      <c r="P1726" s="802">
        <f t="shared" si="152"/>
        <v>0</v>
      </c>
    </row>
    <row r="1727" spans="3:16">
      <c r="C1727" s="736" t="s">
        <v>83</v>
      </c>
      <c r="D1727" s="730"/>
      <c r="E1727" s="730">
        <f>SUM(E1667:E1726)</f>
        <v>50970497.310000002</v>
      </c>
      <c r="F1727" s="730"/>
      <c r="G1727" s="730"/>
      <c r="H1727" s="730">
        <f>SUM(H1667:H1726)</f>
        <v>183548276.95874092</v>
      </c>
      <c r="I1727" s="730">
        <f>SUM(I1667:I1726)</f>
        <v>183548276.95874092</v>
      </c>
      <c r="J1727" s="730">
        <f>SUM(J1667:J1726)</f>
        <v>0</v>
      </c>
      <c r="K1727" s="730"/>
      <c r="L1727" s="730"/>
      <c r="M1727" s="730"/>
      <c r="N1727" s="730"/>
      <c r="O1727" s="730"/>
    </row>
    <row r="1728" spans="3:16">
      <c r="D1728" s="538"/>
      <c r="E1728" s="313"/>
      <c r="F1728" s="313"/>
      <c r="G1728" s="313"/>
      <c r="H1728" s="313"/>
      <c r="I1728" s="708"/>
      <c r="J1728" s="708"/>
      <c r="K1728" s="730"/>
      <c r="L1728" s="708"/>
      <c r="M1728" s="708"/>
      <c r="N1728" s="708"/>
      <c r="O1728" s="708"/>
    </row>
    <row r="1729" spans="1:17">
      <c r="C1729" s="313" t="s">
        <v>13</v>
      </c>
      <c r="D1729" s="538"/>
      <c r="E1729" s="313"/>
      <c r="F1729" s="313"/>
      <c r="G1729" s="313"/>
      <c r="H1729" s="313"/>
      <c r="I1729" s="708"/>
      <c r="J1729" s="708"/>
      <c r="K1729" s="730"/>
      <c r="L1729" s="708"/>
      <c r="M1729" s="708"/>
      <c r="N1729" s="708"/>
      <c r="O1729" s="708"/>
    </row>
    <row r="1730" spans="1:17">
      <c r="C1730" s="313"/>
      <c r="D1730" s="538"/>
      <c r="E1730" s="313"/>
      <c r="F1730" s="313"/>
      <c r="G1730" s="313"/>
      <c r="H1730" s="313"/>
      <c r="I1730" s="708"/>
      <c r="J1730" s="708"/>
      <c r="K1730" s="730"/>
      <c r="L1730" s="708"/>
      <c r="M1730" s="708"/>
      <c r="N1730" s="708"/>
      <c r="O1730" s="708"/>
    </row>
    <row r="1731" spans="1:17">
      <c r="C1731" s="749" t="s">
        <v>14</v>
      </c>
      <c r="D1731" s="736"/>
      <c r="E1731" s="736"/>
      <c r="F1731" s="736"/>
      <c r="G1731" s="736"/>
      <c r="H1731" s="730"/>
      <c r="I1731" s="730"/>
      <c r="J1731" s="804"/>
      <c r="K1731" s="804"/>
      <c r="L1731" s="804"/>
      <c r="M1731" s="804"/>
      <c r="N1731" s="804"/>
      <c r="O1731" s="804"/>
    </row>
    <row r="1732" spans="1:17">
      <c r="C1732" s="735" t="s">
        <v>263</v>
      </c>
      <c r="D1732" s="736"/>
      <c r="E1732" s="736"/>
      <c r="F1732" s="736"/>
      <c r="G1732" s="736"/>
      <c r="H1732" s="730"/>
      <c r="I1732" s="730"/>
      <c r="J1732" s="804"/>
      <c r="K1732" s="804"/>
      <c r="L1732" s="804"/>
      <c r="M1732" s="804"/>
      <c r="N1732" s="804"/>
      <c r="O1732" s="804"/>
    </row>
    <row r="1733" spans="1:17">
      <c r="C1733" s="735" t="s">
        <v>84</v>
      </c>
      <c r="D1733" s="736"/>
      <c r="E1733" s="736"/>
      <c r="F1733" s="736"/>
      <c r="G1733" s="736"/>
      <c r="H1733" s="730"/>
      <c r="I1733" s="730"/>
      <c r="J1733" s="804"/>
      <c r="K1733" s="804"/>
      <c r="L1733" s="804"/>
      <c r="M1733" s="804"/>
      <c r="N1733" s="804"/>
      <c r="O1733" s="804"/>
    </row>
    <row r="1735" spans="1:17" ht="20.25">
      <c r="A1735" s="737" t="str">
        <f>""&amp;A1659&amp;" Worksheet K -  ATRR TRUE-UP Calculation for PJM Projects Charged to Benefiting Zones"</f>
        <v xml:space="preserve"> Worksheet K -  ATRR TRUE-UP Calculation for PJM Projects Charged to Benefiting Zones</v>
      </c>
      <c r="B1735" s="347"/>
      <c r="C1735" s="725"/>
      <c r="D1735" s="538"/>
      <c r="E1735" s="313"/>
      <c r="F1735" s="707"/>
      <c r="G1735" s="707"/>
      <c r="H1735" s="313"/>
      <c r="I1735" s="708"/>
      <c r="L1735" s="564"/>
      <c r="M1735" s="564"/>
      <c r="N1735" s="564"/>
      <c r="O1735" s="653" t="str">
        <f>"Page "&amp;SUM(Q$8:Q1735)&amp;" of "</f>
        <v xml:space="preserve">Page 21 of </v>
      </c>
      <c r="P1735" s="654">
        <f>COUNT(Q$8:Q$57703)</f>
        <v>22</v>
      </c>
      <c r="Q1735" s="655">
        <v>1</v>
      </c>
    </row>
    <row r="1736" spans="1:17">
      <c r="B1736" s="347"/>
      <c r="C1736" s="313"/>
      <c r="D1736" s="538"/>
      <c r="E1736" s="313"/>
      <c r="F1736" s="313"/>
      <c r="G1736" s="313"/>
      <c r="H1736" s="313"/>
      <c r="I1736" s="708"/>
      <c r="J1736" s="313"/>
      <c r="K1736" s="426"/>
    </row>
    <row r="1737" spans="1:17" ht="18">
      <c r="B1737" s="657" t="s">
        <v>466</v>
      </c>
      <c r="C1737" s="739" t="s">
        <v>85</v>
      </c>
      <c r="D1737" s="538"/>
      <c r="E1737" s="313"/>
      <c r="F1737" s="313"/>
      <c r="G1737" s="313"/>
      <c r="H1737" s="313"/>
      <c r="I1737" s="708"/>
      <c r="J1737" s="708"/>
      <c r="K1737" s="730"/>
      <c r="L1737" s="708"/>
      <c r="M1737" s="708"/>
      <c r="N1737" s="708"/>
      <c r="O1737" s="708"/>
    </row>
    <row r="1738" spans="1:17" ht="18.75">
      <c r="B1738" s="657"/>
      <c r="C1738" s="656"/>
      <c r="D1738" s="538"/>
      <c r="E1738" s="313"/>
      <c r="F1738" s="313"/>
      <c r="G1738" s="313"/>
      <c r="H1738" s="313"/>
      <c r="I1738" s="708"/>
      <c r="J1738" s="708"/>
      <c r="K1738" s="730"/>
      <c r="L1738" s="708"/>
      <c r="M1738" s="708"/>
      <c r="N1738" s="708"/>
      <c r="O1738" s="708"/>
    </row>
    <row r="1739" spans="1:17" ht="18.75">
      <c r="B1739" s="657"/>
      <c r="C1739" s="656" t="s">
        <v>86</v>
      </c>
      <c r="D1739" s="538"/>
      <c r="E1739" s="313"/>
      <c r="F1739" s="313"/>
      <c r="G1739" s="313"/>
      <c r="H1739" s="313"/>
      <c r="I1739" s="708"/>
      <c r="J1739" s="708"/>
      <c r="K1739" s="730"/>
      <c r="L1739" s="708"/>
      <c r="M1739" s="708"/>
      <c r="N1739" s="708"/>
      <c r="O1739" s="708"/>
    </row>
    <row r="1740" spans="1:17" ht="15.75" thickBot="1">
      <c r="C1740" s="239"/>
      <c r="D1740" s="538"/>
      <c r="E1740" s="313"/>
      <c r="F1740" s="313"/>
      <c r="G1740" s="313"/>
      <c r="H1740" s="313"/>
      <c r="I1740" s="708"/>
      <c r="J1740" s="708"/>
      <c r="K1740" s="730"/>
      <c r="L1740" s="708"/>
      <c r="M1740" s="708"/>
      <c r="N1740" s="708"/>
      <c r="O1740" s="708"/>
    </row>
    <row r="1741" spans="1:17" ht="15.75">
      <c r="C1741" s="659" t="s">
        <v>87</v>
      </c>
      <c r="D1741" s="538"/>
      <c r="E1741" s="313"/>
      <c r="F1741" s="313"/>
      <c r="G1741" s="313"/>
      <c r="H1741" s="806"/>
      <c r="I1741" s="313" t="s">
        <v>66</v>
      </c>
      <c r="J1741" s="313"/>
      <c r="K1741" s="426"/>
      <c r="L1741" s="835">
        <f>+J1747</f>
        <v>2023</v>
      </c>
      <c r="M1741" s="816" t="s">
        <v>45</v>
      </c>
      <c r="N1741" s="816" t="s">
        <v>46</v>
      </c>
      <c r="O1741" s="817" t="s">
        <v>47</v>
      </c>
    </row>
    <row r="1742" spans="1:17" ht="15.75">
      <c r="C1742" s="659"/>
      <c r="D1742" s="538"/>
      <c r="E1742" s="313"/>
      <c r="F1742" s="313"/>
      <c r="H1742" s="313"/>
      <c r="I1742" s="744"/>
      <c r="J1742" s="744"/>
      <c r="K1742" s="745"/>
      <c r="L1742" s="836" t="s">
        <v>235</v>
      </c>
      <c r="M1742" s="837">
        <f>VLOOKUP(J1747,C1754:P1813,10)</f>
        <v>7645106.1795429559</v>
      </c>
      <c r="N1742" s="837">
        <f>VLOOKUP(J1747,C1754:P1813,12)</f>
        <v>7645106.1795429559</v>
      </c>
      <c r="O1742" s="838">
        <f>+N1742-M1742</f>
        <v>0</v>
      </c>
    </row>
    <row r="1743" spans="1:17" ht="12.95" customHeight="1">
      <c r="C1743" s="749" t="s">
        <v>88</v>
      </c>
      <c r="D1743" s="1537" t="s">
        <v>829</v>
      </c>
      <c r="E1743" s="1537"/>
      <c r="F1743" s="1537"/>
      <c r="G1743" s="1537"/>
      <c r="H1743" s="1537"/>
      <c r="I1743" s="1537"/>
      <c r="J1743" s="708"/>
      <c r="K1743" s="730"/>
      <c r="L1743" s="836" t="s">
        <v>236</v>
      </c>
      <c r="M1743" s="839">
        <f>VLOOKUP(J1747,C1754:P1813,6)</f>
        <v>7319999.2370329425</v>
      </c>
      <c r="N1743" s="839">
        <f>VLOOKUP(J1747,C1754:P1813,7)</f>
        <v>7319999.2370329425</v>
      </c>
      <c r="O1743" s="840">
        <f>+N1743-M1743</f>
        <v>0</v>
      </c>
    </row>
    <row r="1744" spans="1:17" ht="13.5" customHeight="1" thickBot="1">
      <c r="C1744" s="753"/>
      <c r="D1744" s="1537" t="s">
        <v>408</v>
      </c>
      <c r="E1744" s="1537"/>
      <c r="F1744" s="1537"/>
      <c r="G1744" s="1537"/>
      <c r="H1744" s="1537"/>
      <c r="I1744" s="1537"/>
      <c r="J1744" s="708"/>
      <c r="K1744" s="730"/>
      <c r="L1744" s="772" t="s">
        <v>237</v>
      </c>
      <c r="M1744" s="841">
        <f>+M1743-M1742</f>
        <v>-325106.94251001347</v>
      </c>
      <c r="N1744" s="841">
        <f>+N1743-N1742</f>
        <v>-325106.94251001347</v>
      </c>
      <c r="O1744" s="842">
        <f>+O1743-O1742</f>
        <v>0</v>
      </c>
    </row>
    <row r="1745" spans="2:16" ht="13.5" thickBot="1">
      <c r="C1745" s="756"/>
      <c r="D1745" s="757"/>
      <c r="E1745" s="755"/>
      <c r="F1745" s="755"/>
      <c r="G1745" s="755"/>
      <c r="H1745" s="755"/>
      <c r="I1745" s="755"/>
      <c r="J1745" s="755"/>
      <c r="K1745" s="758"/>
      <c r="L1745" s="755"/>
      <c r="M1745" s="755"/>
      <c r="N1745" s="755"/>
      <c r="O1745" s="755"/>
      <c r="P1745" s="347"/>
    </row>
    <row r="1746" spans="2:16" ht="13.5" thickBot="1">
      <c r="C1746" s="759" t="s">
        <v>89</v>
      </c>
      <c r="D1746" s="760"/>
      <c r="E1746" s="760"/>
      <c r="F1746" s="760"/>
      <c r="G1746" s="760"/>
      <c r="H1746" s="760"/>
      <c r="I1746" s="760"/>
      <c r="J1746" s="760"/>
      <c r="K1746" s="762"/>
      <c r="P1746" s="763"/>
    </row>
    <row r="1747" spans="2:16" ht="15">
      <c r="C1747" s="764" t="s">
        <v>67</v>
      </c>
      <c r="D1747" s="808">
        <v>52397331.299999997</v>
      </c>
      <c r="E1747" s="725" t="s">
        <v>68</v>
      </c>
      <c r="H1747" s="765"/>
      <c r="I1747" s="765"/>
      <c r="J1747" s="766">
        <f>$J$93</f>
        <v>2023</v>
      </c>
      <c r="K1747" s="554"/>
      <c r="L1747" s="1536" t="s">
        <v>69</v>
      </c>
      <c r="M1747" s="1536"/>
      <c r="N1747" s="1536"/>
      <c r="O1747" s="1536"/>
      <c r="P1747" s="426"/>
    </row>
    <row r="1748" spans="2:16">
      <c r="C1748" s="764" t="s">
        <v>70</v>
      </c>
      <c r="D1748" s="809">
        <v>2015</v>
      </c>
      <c r="E1748" s="764" t="s">
        <v>71</v>
      </c>
      <c r="F1748" s="765"/>
      <c r="G1748" s="765"/>
      <c r="I1748" s="172"/>
      <c r="J1748" s="810">
        <f>IF(H1741="",0,$F$17)</f>
        <v>0</v>
      </c>
      <c r="K1748" s="767"/>
      <c r="L1748" s="730" t="s">
        <v>277</v>
      </c>
      <c r="P1748" s="426"/>
    </row>
    <row r="1749" spans="2:16">
      <c r="C1749" s="764" t="s">
        <v>72</v>
      </c>
      <c r="D1749" s="808">
        <v>5</v>
      </c>
      <c r="E1749" s="764" t="s">
        <v>73</v>
      </c>
      <c r="F1749" s="765"/>
      <c r="G1749" s="765"/>
      <c r="I1749" s="172"/>
      <c r="J1749" s="768">
        <f>$F$70</f>
        <v>0.14450383244078713</v>
      </c>
      <c r="K1749" s="769"/>
      <c r="L1749" s="313" t="str">
        <f>"          INPUT TRUE-UP ARR (WITH &amp; WITHOUT INCENTIVES) FROM EACH PRIOR YEAR"</f>
        <v xml:space="preserve">          INPUT TRUE-UP ARR (WITH &amp; WITHOUT INCENTIVES) FROM EACH PRIOR YEAR</v>
      </c>
      <c r="P1749" s="426"/>
    </row>
    <row r="1750" spans="2:16">
      <c r="C1750" s="764" t="s">
        <v>74</v>
      </c>
      <c r="D1750" s="770">
        <f>H$79</f>
        <v>35</v>
      </c>
      <c r="E1750" s="764" t="s">
        <v>75</v>
      </c>
      <c r="F1750" s="765"/>
      <c r="G1750" s="765"/>
      <c r="I1750" s="172"/>
      <c r="J1750" s="768">
        <f>IF(H1741="",+J1749,$F$69)</f>
        <v>0.14450383244078713</v>
      </c>
      <c r="K1750" s="771"/>
      <c r="L1750" s="313" t="s">
        <v>157</v>
      </c>
      <c r="M1750" s="771"/>
      <c r="N1750" s="771"/>
      <c r="O1750" s="771"/>
      <c r="P1750" s="426"/>
    </row>
    <row r="1751" spans="2:16" ht="13.5" thickBot="1">
      <c r="C1751" s="764" t="s">
        <v>76</v>
      </c>
      <c r="D1751" s="807" t="s">
        <v>808</v>
      </c>
      <c r="E1751" s="772" t="s">
        <v>77</v>
      </c>
      <c r="F1751" s="773"/>
      <c r="G1751" s="773"/>
      <c r="H1751" s="774"/>
      <c r="I1751" s="774"/>
      <c r="J1751" s="752">
        <f>IF(D1747=0,0,D1747/D1750)</f>
        <v>1497066.6085714286</v>
      </c>
      <c r="K1751" s="730"/>
      <c r="L1751" s="730" t="s">
        <v>158</v>
      </c>
      <c r="M1751" s="730"/>
      <c r="N1751" s="730"/>
      <c r="O1751" s="730"/>
      <c r="P1751" s="426"/>
    </row>
    <row r="1752" spans="2:16" ht="38.25">
      <c r="B1752" s="845"/>
      <c r="C1752" s="775" t="s">
        <v>67</v>
      </c>
      <c r="D1752" s="776" t="s">
        <v>78</v>
      </c>
      <c r="E1752" s="777" t="s">
        <v>79</v>
      </c>
      <c r="F1752" s="776" t="s">
        <v>80</v>
      </c>
      <c r="G1752" s="776" t="s">
        <v>238</v>
      </c>
      <c r="H1752" s="777" t="s">
        <v>151</v>
      </c>
      <c r="I1752" s="778" t="s">
        <v>151</v>
      </c>
      <c r="J1752" s="775" t="s">
        <v>90</v>
      </c>
      <c r="K1752" s="779"/>
      <c r="L1752" s="777" t="s">
        <v>153</v>
      </c>
      <c r="M1752" s="777" t="s">
        <v>159</v>
      </c>
      <c r="N1752" s="777" t="s">
        <v>153</v>
      </c>
      <c r="O1752" s="777" t="s">
        <v>161</v>
      </c>
      <c r="P1752" s="777" t="s">
        <v>81</v>
      </c>
    </row>
    <row r="1753" spans="2:16" ht="13.5" thickBot="1">
      <c r="C1753" s="781" t="s">
        <v>469</v>
      </c>
      <c r="D1753" s="782" t="s">
        <v>470</v>
      </c>
      <c r="E1753" s="781" t="s">
        <v>363</v>
      </c>
      <c r="F1753" s="782" t="s">
        <v>470</v>
      </c>
      <c r="G1753" s="782" t="s">
        <v>470</v>
      </c>
      <c r="H1753" s="783" t="s">
        <v>93</v>
      </c>
      <c r="I1753" s="784" t="s">
        <v>95</v>
      </c>
      <c r="J1753" s="785" t="s">
        <v>15</v>
      </c>
      <c r="K1753" s="786"/>
      <c r="L1753" s="783" t="s">
        <v>82</v>
      </c>
      <c r="M1753" s="783" t="s">
        <v>82</v>
      </c>
      <c r="N1753" s="783" t="s">
        <v>255</v>
      </c>
      <c r="O1753" s="783" t="s">
        <v>255</v>
      </c>
      <c r="P1753" s="783" t="s">
        <v>255</v>
      </c>
    </row>
    <row r="1754" spans="2:16">
      <c r="C1754" s="788">
        <f>IF(D1748= "","-",D1748)</f>
        <v>2015</v>
      </c>
      <c r="D1754" s="736">
        <f>+D1747</f>
        <v>52397331.299999997</v>
      </c>
      <c r="E1754" s="794">
        <f>+J1751/12*(12-D1749)</f>
        <v>873288.85499999998</v>
      </c>
      <c r="F1754" s="843">
        <f t="shared" ref="F1754:F1813" si="157">+D1754-E1754</f>
        <v>51524042.445</v>
      </c>
      <c r="G1754" s="736">
        <f>+(D1754+F1754)/2</f>
        <v>51960686.872500002</v>
      </c>
      <c r="H1754" s="790">
        <f>+J1749*G1754+E1754</f>
        <v>8381807.2443319485</v>
      </c>
      <c r="I1754" s="791">
        <f>+J1750*G1754+E1754</f>
        <v>8381807.2443319485</v>
      </c>
      <c r="J1754" s="792">
        <f>+I1754-H1754</f>
        <v>0</v>
      </c>
      <c r="K1754" s="792"/>
      <c r="L1754" s="811">
        <v>7243003</v>
      </c>
      <c r="M1754" s="844">
        <f t="shared" ref="M1754:M1813" si="158">IF(L1754&lt;&gt;0,+H1754-L1754,0)</f>
        <v>1138804.2443319485</v>
      </c>
      <c r="N1754" s="811">
        <v>7243003</v>
      </c>
      <c r="O1754" s="844">
        <f t="shared" ref="O1754:O1813" si="159">IF(N1754&lt;&gt;0,+I1754-N1754,0)</f>
        <v>1138804.2443319485</v>
      </c>
      <c r="P1754" s="844">
        <f t="shared" ref="P1754:P1813" si="160">+O1754-M1754</f>
        <v>0</v>
      </c>
    </row>
    <row r="1755" spans="2:16">
      <c r="C1755" s="788">
        <f>IF(D1748="","-",+C1754+1)</f>
        <v>2016</v>
      </c>
      <c r="D1755" s="736">
        <f t="shared" ref="D1755:D1813" si="161">F1754</f>
        <v>51524042.445</v>
      </c>
      <c r="E1755" s="789">
        <f>IF(D1755&gt;$J$1751,$J$1751,D1755)</f>
        <v>1497066.6085714286</v>
      </c>
      <c r="F1755" s="789">
        <f t="shared" si="157"/>
        <v>50026975.836428575</v>
      </c>
      <c r="G1755" s="736">
        <f t="shared" ref="G1755:G1813" si="162">+(D1755+F1755)/2</f>
        <v>50775509.140714288</v>
      </c>
      <c r="H1755" s="794">
        <f>+J1749*G1755+E1755</f>
        <v>8834322.2735368609</v>
      </c>
      <c r="I1755" s="795">
        <f>+J1750*G1755+E1755</f>
        <v>8834322.2735368609</v>
      </c>
      <c r="J1755" s="792">
        <f>+I1755-H1755</f>
        <v>0</v>
      </c>
      <c r="K1755" s="792"/>
      <c r="L1755" s="812">
        <v>7538577</v>
      </c>
      <c r="M1755" s="792">
        <f t="shared" si="158"/>
        <v>1295745.2735368609</v>
      </c>
      <c r="N1755" s="812">
        <v>7538577</v>
      </c>
      <c r="O1755" s="792">
        <f t="shared" si="159"/>
        <v>1295745.2735368609</v>
      </c>
      <c r="P1755" s="792">
        <f t="shared" si="160"/>
        <v>0</v>
      </c>
    </row>
    <row r="1756" spans="2:16">
      <c r="C1756" s="788">
        <f>IF(D1748="","-",+C1755+1)</f>
        <v>2017</v>
      </c>
      <c r="D1756" s="736">
        <f t="shared" si="161"/>
        <v>50026975.836428575</v>
      </c>
      <c r="E1756" s="789">
        <f t="shared" ref="E1756:E1812" si="163">IF(D1756&gt;$J$1751,$J$1751,D1756)</f>
        <v>1497066.6085714286</v>
      </c>
      <c r="F1756" s="789">
        <f t="shared" si="157"/>
        <v>48529909.22785715</v>
      </c>
      <c r="G1756" s="736">
        <f t="shared" si="162"/>
        <v>49278442.532142863</v>
      </c>
      <c r="H1756" s="794">
        <f>+J1749*G1756+E1756</f>
        <v>8617990.4111791588</v>
      </c>
      <c r="I1756" s="795">
        <f>+J1750*G1756+E1756</f>
        <v>8617990.4111791588</v>
      </c>
      <c r="J1756" s="792">
        <f t="shared" ref="J1756:J1813" si="164">+I1756-H1756</f>
        <v>0</v>
      </c>
      <c r="K1756" s="792"/>
      <c r="L1756" s="812">
        <v>9073387</v>
      </c>
      <c r="M1756" s="792">
        <f t="shared" si="158"/>
        <v>-455396.58882084116</v>
      </c>
      <c r="N1756" s="812">
        <v>9073387</v>
      </c>
      <c r="O1756" s="792">
        <f t="shared" si="159"/>
        <v>-455396.58882084116</v>
      </c>
      <c r="P1756" s="792">
        <f t="shared" si="160"/>
        <v>0</v>
      </c>
    </row>
    <row r="1757" spans="2:16">
      <c r="C1757" s="788">
        <f>IF(D1748="","-",+C1756+1)</f>
        <v>2018</v>
      </c>
      <c r="D1757" s="1402">
        <f t="shared" si="161"/>
        <v>48529909.22785715</v>
      </c>
      <c r="E1757" s="789">
        <f t="shared" si="163"/>
        <v>1497066.6085714286</v>
      </c>
      <c r="F1757" s="789">
        <f t="shared" si="157"/>
        <v>47032842.619285725</v>
      </c>
      <c r="G1757" s="736">
        <f t="shared" si="162"/>
        <v>47781375.923571438</v>
      </c>
      <c r="H1757" s="794">
        <f>+J1749*G1757+E1757</f>
        <v>8401658.5488214549</v>
      </c>
      <c r="I1757" s="795">
        <f>+J1750*G1757+E1757</f>
        <v>8401658.5488214549</v>
      </c>
      <c r="J1757" s="792">
        <f t="shared" si="164"/>
        <v>0</v>
      </c>
      <c r="K1757" s="792"/>
      <c r="L1757" s="812">
        <v>8068347</v>
      </c>
      <c r="M1757" s="792">
        <f t="shared" si="158"/>
        <v>333311.54882145487</v>
      </c>
      <c r="N1757" s="812">
        <v>8068347</v>
      </c>
      <c r="O1757" s="792">
        <f t="shared" si="159"/>
        <v>333311.54882145487</v>
      </c>
      <c r="P1757" s="792">
        <f t="shared" si="160"/>
        <v>0</v>
      </c>
    </row>
    <row r="1758" spans="2:16">
      <c r="C1758" s="788">
        <f>IF(D1748="","-",+C1757+1)</f>
        <v>2019</v>
      </c>
      <c r="D1758" s="1321">
        <f t="shared" si="161"/>
        <v>47032842.619285725</v>
      </c>
      <c r="E1758" s="789">
        <f t="shared" si="163"/>
        <v>1497066.6085714286</v>
      </c>
      <c r="F1758" s="789">
        <f t="shared" si="157"/>
        <v>45535776.0107143</v>
      </c>
      <c r="G1758" s="736">
        <f t="shared" si="162"/>
        <v>46284309.315000013</v>
      </c>
      <c r="H1758" s="794">
        <f>+J1749*G1758+E1758</f>
        <v>8185326.6864637537</v>
      </c>
      <c r="I1758" s="795">
        <f>+J1750*G1758+E1758</f>
        <v>8185326.6864637537</v>
      </c>
      <c r="J1758" s="792">
        <f t="shared" si="164"/>
        <v>0</v>
      </c>
      <c r="K1758" s="792"/>
      <c r="L1758" s="812">
        <v>8277756.5823353138</v>
      </c>
      <c r="M1758" s="792">
        <f t="shared" si="158"/>
        <v>-92429.895871560089</v>
      </c>
      <c r="N1758" s="812">
        <v>8277756.5823353138</v>
      </c>
      <c r="O1758" s="792">
        <f t="shared" si="159"/>
        <v>-92429.895871560089</v>
      </c>
      <c r="P1758" s="792">
        <f t="shared" si="160"/>
        <v>0</v>
      </c>
    </row>
    <row r="1759" spans="2:16">
      <c r="C1759" s="788">
        <f>IF(D1748="","-",+C1758+1)</f>
        <v>2020</v>
      </c>
      <c r="D1759" s="1321">
        <f t="shared" si="161"/>
        <v>45535776.0107143</v>
      </c>
      <c r="E1759" s="789">
        <f t="shared" si="163"/>
        <v>1497066.6085714286</v>
      </c>
      <c r="F1759" s="789">
        <f t="shared" si="157"/>
        <v>44038709.402142875</v>
      </c>
      <c r="G1759" s="736">
        <f t="shared" si="162"/>
        <v>44787242.706428587</v>
      </c>
      <c r="H1759" s="794">
        <f>+J1749*G1759+E1759</f>
        <v>7968994.8241060507</v>
      </c>
      <c r="I1759" s="795">
        <f>+J1750*G1759+E1759</f>
        <v>7968994.8241060507</v>
      </c>
      <c r="J1759" s="792">
        <f t="shared" si="164"/>
        <v>0</v>
      </c>
      <c r="K1759" s="792"/>
      <c r="L1759" s="812">
        <v>8678859.6640126929</v>
      </c>
      <c r="M1759" s="792">
        <f t="shared" si="158"/>
        <v>-709864.83990664221</v>
      </c>
      <c r="N1759" s="812">
        <v>8678859.6640126929</v>
      </c>
      <c r="O1759" s="792">
        <f t="shared" si="159"/>
        <v>-709864.83990664221</v>
      </c>
      <c r="P1759" s="792">
        <f t="shared" si="160"/>
        <v>0</v>
      </c>
    </row>
    <row r="1760" spans="2:16">
      <c r="C1760" s="788">
        <f>IF(D1748="","-",+C1759+1)</f>
        <v>2021</v>
      </c>
      <c r="D1760" s="1321">
        <f t="shared" si="161"/>
        <v>44038709.402142875</v>
      </c>
      <c r="E1760" s="789">
        <f t="shared" si="163"/>
        <v>1497066.6085714286</v>
      </c>
      <c r="F1760" s="789">
        <f t="shared" si="157"/>
        <v>42541642.79357145</v>
      </c>
      <c r="G1760" s="736">
        <f t="shared" si="162"/>
        <v>43290176.097857162</v>
      </c>
      <c r="H1760" s="794">
        <f>+J1749*G1760+E1760</f>
        <v>7752662.9617483485</v>
      </c>
      <c r="I1760" s="795">
        <f>+J1750*G1760+E1760</f>
        <v>7752662.9617483485</v>
      </c>
      <c r="J1760" s="792">
        <f t="shared" si="164"/>
        <v>0</v>
      </c>
      <c r="K1760" s="792"/>
      <c r="L1760" s="812">
        <v>7846692.6081248224</v>
      </c>
      <c r="M1760" s="792">
        <f t="shared" si="158"/>
        <v>-94029.646376473829</v>
      </c>
      <c r="N1760" s="812">
        <v>7846692.6081248224</v>
      </c>
      <c r="O1760" s="792">
        <f t="shared" si="159"/>
        <v>-94029.646376473829</v>
      </c>
      <c r="P1760" s="792">
        <f t="shared" si="160"/>
        <v>0</v>
      </c>
    </row>
    <row r="1761" spans="3:16">
      <c r="C1761" s="788">
        <f>IF(D1748="","-",+C1760+1)</f>
        <v>2022</v>
      </c>
      <c r="D1761" s="1321">
        <f t="shared" si="161"/>
        <v>42541642.79357145</v>
      </c>
      <c r="E1761" s="789">
        <f t="shared" si="163"/>
        <v>1497066.6085714286</v>
      </c>
      <c r="F1761" s="789">
        <f t="shared" si="157"/>
        <v>41044576.185000025</v>
      </c>
      <c r="G1761" s="736">
        <f t="shared" si="162"/>
        <v>41793109.489285737</v>
      </c>
      <c r="H1761" s="794">
        <f>+J1749*G1761+E1761</f>
        <v>7536331.0993906455</v>
      </c>
      <c r="I1761" s="795">
        <f>+J1750*G1761+E1761</f>
        <v>7536331.0993906455</v>
      </c>
      <c r="J1761" s="792">
        <f t="shared" si="164"/>
        <v>0</v>
      </c>
      <c r="K1761" s="792"/>
      <c r="L1761" s="812">
        <v>7839684.445363245</v>
      </c>
      <c r="M1761" s="792">
        <f t="shared" si="158"/>
        <v>-303353.34597259946</v>
      </c>
      <c r="N1761" s="812">
        <v>7839684.445363245</v>
      </c>
      <c r="O1761" s="792">
        <f t="shared" si="159"/>
        <v>-303353.34597259946</v>
      </c>
      <c r="P1761" s="792">
        <f t="shared" si="160"/>
        <v>0</v>
      </c>
    </row>
    <row r="1762" spans="3:16">
      <c r="C1762" s="788">
        <f>IF(D1748="","-",+C1761+1)</f>
        <v>2023</v>
      </c>
      <c r="D1762" s="736">
        <f t="shared" si="161"/>
        <v>41044576.185000025</v>
      </c>
      <c r="E1762" s="789">
        <f t="shared" si="163"/>
        <v>1497066.6085714286</v>
      </c>
      <c r="F1762" s="789">
        <f t="shared" si="157"/>
        <v>39547509.5764286</v>
      </c>
      <c r="G1762" s="736">
        <f t="shared" si="162"/>
        <v>40296042.880714312</v>
      </c>
      <c r="H1762" s="794">
        <f>+J1749*G1762+E1762</f>
        <v>7319999.2370329425</v>
      </c>
      <c r="I1762" s="795">
        <f>+J1750*G1762+E1762</f>
        <v>7319999.2370329425</v>
      </c>
      <c r="J1762" s="792">
        <f t="shared" si="164"/>
        <v>0</v>
      </c>
      <c r="K1762" s="792"/>
      <c r="L1762" s="812">
        <v>7645106.1795429559</v>
      </c>
      <c r="M1762" s="792">
        <f t="shared" si="158"/>
        <v>-325106.94251001347</v>
      </c>
      <c r="N1762" s="812">
        <v>7645106.1795429559</v>
      </c>
      <c r="O1762" s="792">
        <f t="shared" si="159"/>
        <v>-325106.94251001347</v>
      </c>
      <c r="P1762" s="792">
        <f t="shared" si="160"/>
        <v>0</v>
      </c>
    </row>
    <row r="1763" spans="3:16">
      <c r="C1763" s="788">
        <f>IF(D1748="","-",+C1762+1)</f>
        <v>2024</v>
      </c>
      <c r="D1763" s="736">
        <f t="shared" si="161"/>
        <v>39547509.5764286</v>
      </c>
      <c r="E1763" s="789">
        <f t="shared" si="163"/>
        <v>1497066.6085714286</v>
      </c>
      <c r="F1763" s="789">
        <f t="shared" si="157"/>
        <v>38050442.967857175</v>
      </c>
      <c r="G1763" s="736">
        <f t="shared" si="162"/>
        <v>38798976.272142887</v>
      </c>
      <c r="H1763" s="794">
        <f>+J1749*G1763+E1763</f>
        <v>7103667.3746752404</v>
      </c>
      <c r="I1763" s="795">
        <f>+J1750*G1763+E1763</f>
        <v>7103667.3746752404</v>
      </c>
      <c r="J1763" s="792">
        <f t="shared" si="164"/>
        <v>0</v>
      </c>
      <c r="K1763" s="792"/>
      <c r="L1763" s="812"/>
      <c r="M1763" s="792">
        <f t="shared" si="158"/>
        <v>0</v>
      </c>
      <c r="N1763" s="812"/>
      <c r="O1763" s="792">
        <f t="shared" si="159"/>
        <v>0</v>
      </c>
      <c r="P1763" s="792">
        <f t="shared" si="160"/>
        <v>0</v>
      </c>
    </row>
    <row r="1764" spans="3:16">
      <c r="C1764" s="788">
        <f>IF(D1748="","-",+C1763+1)</f>
        <v>2025</v>
      </c>
      <c r="D1764" s="736">
        <f t="shared" si="161"/>
        <v>38050442.967857175</v>
      </c>
      <c r="E1764" s="789">
        <f t="shared" si="163"/>
        <v>1497066.6085714286</v>
      </c>
      <c r="F1764" s="789">
        <f t="shared" si="157"/>
        <v>36553376.359285749</v>
      </c>
      <c r="G1764" s="736">
        <f t="shared" si="162"/>
        <v>37301909.663571462</v>
      </c>
      <c r="H1764" s="794">
        <f>+J1749*G1764+E1764</f>
        <v>6887335.5123175373</v>
      </c>
      <c r="I1764" s="795">
        <f>+J1750*G1764+E1764</f>
        <v>6887335.5123175373</v>
      </c>
      <c r="J1764" s="792">
        <f t="shared" si="164"/>
        <v>0</v>
      </c>
      <c r="K1764" s="792"/>
      <c r="L1764" s="812"/>
      <c r="M1764" s="792">
        <f t="shared" si="158"/>
        <v>0</v>
      </c>
      <c r="N1764" s="812"/>
      <c r="O1764" s="792">
        <f t="shared" si="159"/>
        <v>0</v>
      </c>
      <c r="P1764" s="792">
        <f t="shared" si="160"/>
        <v>0</v>
      </c>
    </row>
    <row r="1765" spans="3:16">
      <c r="C1765" s="788">
        <f>IF(D1748="","-",+C1764+1)</f>
        <v>2026</v>
      </c>
      <c r="D1765" s="736">
        <f t="shared" si="161"/>
        <v>36553376.359285749</v>
      </c>
      <c r="E1765" s="789">
        <f t="shared" si="163"/>
        <v>1497066.6085714286</v>
      </c>
      <c r="F1765" s="789">
        <f t="shared" si="157"/>
        <v>35056309.750714324</v>
      </c>
      <c r="G1765" s="736">
        <f t="shared" si="162"/>
        <v>35804843.055000037</v>
      </c>
      <c r="H1765" s="794">
        <f>+J1749*G1765+E1765</f>
        <v>6671003.6499598352</v>
      </c>
      <c r="I1765" s="795">
        <f>+J1750*G1765+E1765</f>
        <v>6671003.6499598352</v>
      </c>
      <c r="J1765" s="792">
        <f t="shared" si="164"/>
        <v>0</v>
      </c>
      <c r="K1765" s="792"/>
      <c r="L1765" s="812"/>
      <c r="M1765" s="792">
        <f t="shared" si="158"/>
        <v>0</v>
      </c>
      <c r="N1765" s="812"/>
      <c r="O1765" s="792">
        <f t="shared" si="159"/>
        <v>0</v>
      </c>
      <c r="P1765" s="792">
        <f t="shared" si="160"/>
        <v>0</v>
      </c>
    </row>
    <row r="1766" spans="3:16">
      <c r="C1766" s="788">
        <f>IF(D1748="","-",+C1765+1)</f>
        <v>2027</v>
      </c>
      <c r="D1766" s="736">
        <f t="shared" si="161"/>
        <v>35056309.750714324</v>
      </c>
      <c r="E1766" s="789">
        <f t="shared" si="163"/>
        <v>1497066.6085714286</v>
      </c>
      <c r="F1766" s="789">
        <f t="shared" si="157"/>
        <v>33559243.142142899</v>
      </c>
      <c r="G1766" s="736">
        <f t="shared" si="162"/>
        <v>34307776.446428612</v>
      </c>
      <c r="H1766" s="794">
        <f>+J1749*G1766+E1766</f>
        <v>6454671.7876021322</v>
      </c>
      <c r="I1766" s="795">
        <f>+J1750*G1766+E1766</f>
        <v>6454671.7876021322</v>
      </c>
      <c r="J1766" s="792">
        <f t="shared" si="164"/>
        <v>0</v>
      </c>
      <c r="K1766" s="792"/>
      <c r="L1766" s="812"/>
      <c r="M1766" s="792">
        <f t="shared" si="158"/>
        <v>0</v>
      </c>
      <c r="N1766" s="812"/>
      <c r="O1766" s="792">
        <f t="shared" si="159"/>
        <v>0</v>
      </c>
      <c r="P1766" s="792">
        <f t="shared" si="160"/>
        <v>0</v>
      </c>
    </row>
    <row r="1767" spans="3:16">
      <c r="C1767" s="788">
        <f>IF(D1748="","-",+C1766+1)</f>
        <v>2028</v>
      </c>
      <c r="D1767" s="736">
        <f t="shared" si="161"/>
        <v>33559243.142142899</v>
      </c>
      <c r="E1767" s="789">
        <f t="shared" si="163"/>
        <v>1497066.6085714286</v>
      </c>
      <c r="F1767" s="789">
        <f t="shared" si="157"/>
        <v>32062176.533571471</v>
      </c>
      <c r="G1767" s="736">
        <f t="shared" si="162"/>
        <v>32810709.837857187</v>
      </c>
      <c r="H1767" s="794">
        <f>+J1749*G1767+E1767</f>
        <v>6238339.9252444291</v>
      </c>
      <c r="I1767" s="795">
        <f>+J1750*G1767+E1767</f>
        <v>6238339.9252444291</v>
      </c>
      <c r="J1767" s="792">
        <f t="shared" si="164"/>
        <v>0</v>
      </c>
      <c r="K1767" s="792"/>
      <c r="L1767" s="812"/>
      <c r="M1767" s="792">
        <f t="shared" si="158"/>
        <v>0</v>
      </c>
      <c r="N1767" s="812"/>
      <c r="O1767" s="792">
        <f t="shared" si="159"/>
        <v>0</v>
      </c>
      <c r="P1767" s="792">
        <f t="shared" si="160"/>
        <v>0</v>
      </c>
    </row>
    <row r="1768" spans="3:16">
      <c r="C1768" s="788">
        <f>IF(D1748="","-",+C1767+1)</f>
        <v>2029</v>
      </c>
      <c r="D1768" s="736">
        <f t="shared" si="161"/>
        <v>32062176.533571471</v>
      </c>
      <c r="E1768" s="789">
        <f t="shared" si="163"/>
        <v>1497066.6085714286</v>
      </c>
      <c r="F1768" s="789">
        <f t="shared" si="157"/>
        <v>30565109.925000042</v>
      </c>
      <c r="G1768" s="736">
        <f t="shared" si="162"/>
        <v>31313643.229285754</v>
      </c>
      <c r="H1768" s="794">
        <f>+J1749*G1768+E1768</f>
        <v>6022008.0628867261</v>
      </c>
      <c r="I1768" s="795">
        <f>+J1750*G1768+E1768</f>
        <v>6022008.0628867261</v>
      </c>
      <c r="J1768" s="792">
        <f t="shared" si="164"/>
        <v>0</v>
      </c>
      <c r="K1768" s="792"/>
      <c r="L1768" s="812"/>
      <c r="M1768" s="792">
        <f t="shared" si="158"/>
        <v>0</v>
      </c>
      <c r="N1768" s="812"/>
      <c r="O1768" s="792">
        <f t="shared" si="159"/>
        <v>0</v>
      </c>
      <c r="P1768" s="792">
        <f t="shared" si="160"/>
        <v>0</v>
      </c>
    </row>
    <row r="1769" spans="3:16">
      <c r="C1769" s="788">
        <f>IF(D1748="","-",+C1768+1)</f>
        <v>2030</v>
      </c>
      <c r="D1769" s="736">
        <f t="shared" si="161"/>
        <v>30565109.925000042</v>
      </c>
      <c r="E1769" s="789">
        <f t="shared" si="163"/>
        <v>1497066.6085714286</v>
      </c>
      <c r="F1769" s="789">
        <f t="shared" si="157"/>
        <v>29068043.316428613</v>
      </c>
      <c r="G1769" s="736">
        <f t="shared" si="162"/>
        <v>29816576.620714329</v>
      </c>
      <c r="H1769" s="794">
        <f>+J1749*G1769+E1769</f>
        <v>5805676.2005290231</v>
      </c>
      <c r="I1769" s="795">
        <f>+J1750*G1769+E1769</f>
        <v>5805676.2005290231</v>
      </c>
      <c r="J1769" s="792">
        <f t="shared" si="164"/>
        <v>0</v>
      </c>
      <c r="K1769" s="792"/>
      <c r="L1769" s="812"/>
      <c r="M1769" s="792">
        <f t="shared" si="158"/>
        <v>0</v>
      </c>
      <c r="N1769" s="812"/>
      <c r="O1769" s="792">
        <f t="shared" si="159"/>
        <v>0</v>
      </c>
      <c r="P1769" s="792">
        <f t="shared" si="160"/>
        <v>0</v>
      </c>
    </row>
    <row r="1770" spans="3:16">
      <c r="C1770" s="788">
        <f>IF(D1748="","-",+C1769+1)</f>
        <v>2031</v>
      </c>
      <c r="D1770" s="736">
        <f t="shared" si="161"/>
        <v>29068043.316428613</v>
      </c>
      <c r="E1770" s="789">
        <f t="shared" si="163"/>
        <v>1497066.6085714286</v>
      </c>
      <c r="F1770" s="789">
        <f t="shared" si="157"/>
        <v>27570976.707857184</v>
      </c>
      <c r="G1770" s="736">
        <f t="shared" si="162"/>
        <v>28319510.012142897</v>
      </c>
      <c r="H1770" s="794">
        <f>+J1749*G1770+E1770</f>
        <v>5589344.3381713191</v>
      </c>
      <c r="I1770" s="795">
        <f>+J1750*G1770+E1770</f>
        <v>5589344.3381713191</v>
      </c>
      <c r="J1770" s="792">
        <f t="shared" si="164"/>
        <v>0</v>
      </c>
      <c r="K1770" s="792"/>
      <c r="L1770" s="812"/>
      <c r="M1770" s="792">
        <f t="shared" si="158"/>
        <v>0</v>
      </c>
      <c r="N1770" s="812"/>
      <c r="O1770" s="792">
        <f t="shared" si="159"/>
        <v>0</v>
      </c>
      <c r="P1770" s="792">
        <f t="shared" si="160"/>
        <v>0</v>
      </c>
    </row>
    <row r="1771" spans="3:16">
      <c r="C1771" s="788">
        <f>IF(D1748="","-",+C1770+1)</f>
        <v>2032</v>
      </c>
      <c r="D1771" s="736">
        <f t="shared" si="161"/>
        <v>27570976.707857184</v>
      </c>
      <c r="E1771" s="789">
        <f t="shared" si="163"/>
        <v>1497066.6085714286</v>
      </c>
      <c r="F1771" s="789">
        <f t="shared" si="157"/>
        <v>26073910.099285755</v>
      </c>
      <c r="G1771" s="736">
        <f t="shared" si="162"/>
        <v>26822443.403571472</v>
      </c>
      <c r="H1771" s="794">
        <f>+J1749*G1771+E1771</f>
        <v>5373012.4758136161</v>
      </c>
      <c r="I1771" s="795">
        <f>+J1750*G1771+E1771</f>
        <v>5373012.4758136161</v>
      </c>
      <c r="J1771" s="792">
        <f t="shared" si="164"/>
        <v>0</v>
      </c>
      <c r="K1771" s="792"/>
      <c r="L1771" s="812"/>
      <c r="M1771" s="792">
        <f t="shared" si="158"/>
        <v>0</v>
      </c>
      <c r="N1771" s="812"/>
      <c r="O1771" s="792">
        <f t="shared" si="159"/>
        <v>0</v>
      </c>
      <c r="P1771" s="792">
        <f t="shared" si="160"/>
        <v>0</v>
      </c>
    </row>
    <row r="1772" spans="3:16">
      <c r="C1772" s="788">
        <f>IF(D1748="","-",+C1771+1)</f>
        <v>2033</v>
      </c>
      <c r="D1772" s="736">
        <f t="shared" si="161"/>
        <v>26073910.099285755</v>
      </c>
      <c r="E1772" s="789">
        <f t="shared" si="163"/>
        <v>1497066.6085714286</v>
      </c>
      <c r="F1772" s="789">
        <f t="shared" si="157"/>
        <v>24576843.490714327</v>
      </c>
      <c r="G1772" s="736">
        <f t="shared" si="162"/>
        <v>25325376.795000039</v>
      </c>
      <c r="H1772" s="794">
        <f>+J1749*G1772+E1772</f>
        <v>5156680.613455913</v>
      </c>
      <c r="I1772" s="795">
        <f>+J1750*G1772+E1772</f>
        <v>5156680.613455913</v>
      </c>
      <c r="J1772" s="792">
        <f t="shared" si="164"/>
        <v>0</v>
      </c>
      <c r="K1772" s="792"/>
      <c r="L1772" s="812"/>
      <c r="M1772" s="792">
        <f t="shared" si="158"/>
        <v>0</v>
      </c>
      <c r="N1772" s="812"/>
      <c r="O1772" s="792">
        <f t="shared" si="159"/>
        <v>0</v>
      </c>
      <c r="P1772" s="792">
        <f t="shared" si="160"/>
        <v>0</v>
      </c>
    </row>
    <row r="1773" spans="3:16">
      <c r="C1773" s="788">
        <f>IF(D1748="","-",+C1772+1)</f>
        <v>2034</v>
      </c>
      <c r="D1773" s="736">
        <f t="shared" si="161"/>
        <v>24576843.490714327</v>
      </c>
      <c r="E1773" s="789">
        <f t="shared" si="163"/>
        <v>1497066.6085714286</v>
      </c>
      <c r="F1773" s="789">
        <f t="shared" si="157"/>
        <v>23079776.882142898</v>
      </c>
      <c r="G1773" s="736">
        <f t="shared" si="162"/>
        <v>23828310.186428614</v>
      </c>
      <c r="H1773" s="794">
        <f>+J1749*G1773+E1773</f>
        <v>4940348.75109821</v>
      </c>
      <c r="I1773" s="795">
        <f>+J1750*G1773+E1773</f>
        <v>4940348.75109821</v>
      </c>
      <c r="J1773" s="792">
        <f t="shared" si="164"/>
        <v>0</v>
      </c>
      <c r="K1773" s="792"/>
      <c r="L1773" s="812"/>
      <c r="M1773" s="792">
        <f t="shared" si="158"/>
        <v>0</v>
      </c>
      <c r="N1773" s="812"/>
      <c r="O1773" s="792">
        <f t="shared" si="159"/>
        <v>0</v>
      </c>
      <c r="P1773" s="792">
        <f t="shared" si="160"/>
        <v>0</v>
      </c>
    </row>
    <row r="1774" spans="3:16">
      <c r="C1774" s="788">
        <f>IF(D1748="","-",+C1773+1)</f>
        <v>2035</v>
      </c>
      <c r="D1774" s="736">
        <f t="shared" si="161"/>
        <v>23079776.882142898</v>
      </c>
      <c r="E1774" s="789">
        <f t="shared" si="163"/>
        <v>1497066.6085714286</v>
      </c>
      <c r="F1774" s="789">
        <f t="shared" si="157"/>
        <v>21582710.273571469</v>
      </c>
      <c r="G1774" s="736">
        <f t="shared" si="162"/>
        <v>22331243.577857181</v>
      </c>
      <c r="H1774" s="794">
        <f>+J1749*G1774+E1774</f>
        <v>4724016.888740506</v>
      </c>
      <c r="I1774" s="795">
        <f>+J1750*G1774+E1774</f>
        <v>4724016.888740506</v>
      </c>
      <c r="J1774" s="792">
        <f t="shared" si="164"/>
        <v>0</v>
      </c>
      <c r="K1774" s="792"/>
      <c r="L1774" s="812"/>
      <c r="M1774" s="792">
        <f t="shared" si="158"/>
        <v>0</v>
      </c>
      <c r="N1774" s="812"/>
      <c r="O1774" s="792">
        <f t="shared" si="159"/>
        <v>0</v>
      </c>
      <c r="P1774" s="792">
        <f t="shared" si="160"/>
        <v>0</v>
      </c>
    </row>
    <row r="1775" spans="3:16">
      <c r="C1775" s="788">
        <f>IF(D1748="","-",+C1774+1)</f>
        <v>2036</v>
      </c>
      <c r="D1775" s="736">
        <f t="shared" si="161"/>
        <v>21582710.273571469</v>
      </c>
      <c r="E1775" s="789">
        <f t="shared" si="163"/>
        <v>1497066.6085714286</v>
      </c>
      <c r="F1775" s="789">
        <f t="shared" si="157"/>
        <v>20085643.66500004</v>
      </c>
      <c r="G1775" s="736">
        <f t="shared" si="162"/>
        <v>20834176.969285756</v>
      </c>
      <c r="H1775" s="794">
        <f>+J1749*G1775+E1775</f>
        <v>4507685.0263828039</v>
      </c>
      <c r="I1775" s="795">
        <f>+J1750*G1775+E1775</f>
        <v>4507685.0263828039</v>
      </c>
      <c r="J1775" s="792">
        <f t="shared" si="164"/>
        <v>0</v>
      </c>
      <c r="K1775" s="792"/>
      <c r="L1775" s="812"/>
      <c r="M1775" s="792">
        <f t="shared" si="158"/>
        <v>0</v>
      </c>
      <c r="N1775" s="812"/>
      <c r="O1775" s="792">
        <f t="shared" si="159"/>
        <v>0</v>
      </c>
      <c r="P1775" s="792">
        <f t="shared" si="160"/>
        <v>0</v>
      </c>
    </row>
    <row r="1776" spans="3:16">
      <c r="C1776" s="788">
        <f>IF(D1748="","-",+C1775+1)</f>
        <v>2037</v>
      </c>
      <c r="D1776" s="736">
        <f t="shared" si="161"/>
        <v>20085643.66500004</v>
      </c>
      <c r="E1776" s="789">
        <f t="shared" si="163"/>
        <v>1497066.6085714286</v>
      </c>
      <c r="F1776" s="789">
        <f t="shared" si="157"/>
        <v>18588577.056428611</v>
      </c>
      <c r="G1776" s="736">
        <f t="shared" si="162"/>
        <v>19337110.360714324</v>
      </c>
      <c r="H1776" s="794">
        <f>+J1749*G1776+E1776</f>
        <v>4291353.1640250999</v>
      </c>
      <c r="I1776" s="795">
        <f>+J1750*G1776+E1776</f>
        <v>4291353.1640250999</v>
      </c>
      <c r="J1776" s="792">
        <f t="shared" si="164"/>
        <v>0</v>
      </c>
      <c r="K1776" s="792"/>
      <c r="L1776" s="812"/>
      <c r="M1776" s="792">
        <f t="shared" si="158"/>
        <v>0</v>
      </c>
      <c r="N1776" s="812"/>
      <c r="O1776" s="792">
        <f t="shared" si="159"/>
        <v>0</v>
      </c>
      <c r="P1776" s="792">
        <f t="shared" si="160"/>
        <v>0</v>
      </c>
    </row>
    <row r="1777" spans="3:16">
      <c r="C1777" s="788">
        <f>IF(D1748="","-",+C1776+1)</f>
        <v>2038</v>
      </c>
      <c r="D1777" s="736">
        <f t="shared" si="161"/>
        <v>18588577.056428611</v>
      </c>
      <c r="E1777" s="789">
        <f t="shared" si="163"/>
        <v>1497066.6085714286</v>
      </c>
      <c r="F1777" s="789">
        <f t="shared" si="157"/>
        <v>17091510.447857182</v>
      </c>
      <c r="G1777" s="736">
        <f t="shared" si="162"/>
        <v>17840043.752142899</v>
      </c>
      <c r="H1777" s="794">
        <f>+J1749*G1777+E1777</f>
        <v>4075021.3016673969</v>
      </c>
      <c r="I1777" s="795">
        <f>+J1750*G1777+E1777</f>
        <v>4075021.3016673969</v>
      </c>
      <c r="J1777" s="792">
        <f t="shared" si="164"/>
        <v>0</v>
      </c>
      <c r="K1777" s="792"/>
      <c r="L1777" s="812"/>
      <c r="M1777" s="792">
        <f t="shared" si="158"/>
        <v>0</v>
      </c>
      <c r="N1777" s="812"/>
      <c r="O1777" s="792">
        <f t="shared" si="159"/>
        <v>0</v>
      </c>
      <c r="P1777" s="792">
        <f t="shared" si="160"/>
        <v>0</v>
      </c>
    </row>
    <row r="1778" spans="3:16">
      <c r="C1778" s="788">
        <f>IF(D1748="","-",+C1777+1)</f>
        <v>2039</v>
      </c>
      <c r="D1778" s="736">
        <f t="shared" si="161"/>
        <v>17091510.447857182</v>
      </c>
      <c r="E1778" s="789">
        <f t="shared" si="163"/>
        <v>1497066.6085714286</v>
      </c>
      <c r="F1778" s="789">
        <f t="shared" si="157"/>
        <v>15594443.839285754</v>
      </c>
      <c r="G1778" s="736">
        <f t="shared" si="162"/>
        <v>16342977.143571468</v>
      </c>
      <c r="H1778" s="794">
        <f>+J1749*G1778+E1778</f>
        <v>3858689.4393096939</v>
      </c>
      <c r="I1778" s="795">
        <f>+J1750*G1778+E1778</f>
        <v>3858689.4393096939</v>
      </c>
      <c r="J1778" s="792">
        <f t="shared" si="164"/>
        <v>0</v>
      </c>
      <c r="K1778" s="792"/>
      <c r="L1778" s="812"/>
      <c r="M1778" s="792">
        <f t="shared" si="158"/>
        <v>0</v>
      </c>
      <c r="N1778" s="812"/>
      <c r="O1778" s="792">
        <f t="shared" si="159"/>
        <v>0</v>
      </c>
      <c r="P1778" s="792">
        <f t="shared" si="160"/>
        <v>0</v>
      </c>
    </row>
    <row r="1779" spans="3:16">
      <c r="C1779" s="788">
        <f>IF(D1748="","-",+C1778+1)</f>
        <v>2040</v>
      </c>
      <c r="D1779" s="736">
        <f t="shared" si="161"/>
        <v>15594443.839285754</v>
      </c>
      <c r="E1779" s="789">
        <f t="shared" si="163"/>
        <v>1497066.6085714286</v>
      </c>
      <c r="F1779" s="789">
        <f t="shared" si="157"/>
        <v>14097377.230714325</v>
      </c>
      <c r="G1779" s="736">
        <f t="shared" si="162"/>
        <v>14845910.535000039</v>
      </c>
      <c r="H1779" s="794">
        <f>+J1749*G1779+E1779</f>
        <v>3642357.5769519908</v>
      </c>
      <c r="I1779" s="795">
        <f>+J1750*G1779+E1779</f>
        <v>3642357.5769519908</v>
      </c>
      <c r="J1779" s="792">
        <f t="shared" si="164"/>
        <v>0</v>
      </c>
      <c r="K1779" s="792"/>
      <c r="L1779" s="812"/>
      <c r="M1779" s="792">
        <f t="shared" si="158"/>
        <v>0</v>
      </c>
      <c r="N1779" s="812"/>
      <c r="O1779" s="792">
        <f t="shared" si="159"/>
        <v>0</v>
      </c>
      <c r="P1779" s="792">
        <f t="shared" si="160"/>
        <v>0</v>
      </c>
    </row>
    <row r="1780" spans="3:16">
      <c r="C1780" s="788">
        <f>IF(D1748="","-",+C1779+1)</f>
        <v>2041</v>
      </c>
      <c r="D1780" s="736">
        <f t="shared" si="161"/>
        <v>14097377.230714325</v>
      </c>
      <c r="E1780" s="789">
        <f t="shared" si="163"/>
        <v>1497066.6085714286</v>
      </c>
      <c r="F1780" s="789">
        <f t="shared" si="157"/>
        <v>12600310.622142896</v>
      </c>
      <c r="G1780" s="736">
        <f t="shared" si="162"/>
        <v>13348843.92642861</v>
      </c>
      <c r="H1780" s="794">
        <f>+J1749*G1780+E1780</f>
        <v>3426025.7145942873</v>
      </c>
      <c r="I1780" s="795">
        <f>+J1750*G1780+E1780</f>
        <v>3426025.7145942873</v>
      </c>
      <c r="J1780" s="792">
        <f t="shared" si="164"/>
        <v>0</v>
      </c>
      <c r="K1780" s="792"/>
      <c r="L1780" s="812"/>
      <c r="M1780" s="792">
        <f t="shared" si="158"/>
        <v>0</v>
      </c>
      <c r="N1780" s="812"/>
      <c r="O1780" s="792">
        <f t="shared" si="159"/>
        <v>0</v>
      </c>
      <c r="P1780" s="792">
        <f t="shared" si="160"/>
        <v>0</v>
      </c>
    </row>
    <row r="1781" spans="3:16">
      <c r="C1781" s="788">
        <f>IF(D1748="","-",+C1780+1)</f>
        <v>2042</v>
      </c>
      <c r="D1781" s="736">
        <f t="shared" si="161"/>
        <v>12600310.622142896</v>
      </c>
      <c r="E1781" s="789">
        <f t="shared" si="163"/>
        <v>1497066.6085714286</v>
      </c>
      <c r="F1781" s="789">
        <f t="shared" si="157"/>
        <v>11103244.013571467</v>
      </c>
      <c r="G1781" s="736">
        <f t="shared" si="162"/>
        <v>11851777.317857182</v>
      </c>
      <c r="H1781" s="794">
        <f>+J1749*G1781+E1781</f>
        <v>3209693.8522365843</v>
      </c>
      <c r="I1781" s="795">
        <f>+J1750*G1781+E1781</f>
        <v>3209693.8522365843</v>
      </c>
      <c r="J1781" s="792">
        <f t="shared" si="164"/>
        <v>0</v>
      </c>
      <c r="K1781" s="792"/>
      <c r="L1781" s="812"/>
      <c r="M1781" s="792">
        <f t="shared" si="158"/>
        <v>0</v>
      </c>
      <c r="N1781" s="812"/>
      <c r="O1781" s="792">
        <f t="shared" si="159"/>
        <v>0</v>
      </c>
      <c r="P1781" s="792">
        <f t="shared" si="160"/>
        <v>0</v>
      </c>
    </row>
    <row r="1782" spans="3:16">
      <c r="C1782" s="788">
        <f>IF(D1748="","-",+C1781+1)</f>
        <v>2043</v>
      </c>
      <c r="D1782" s="736">
        <f t="shared" si="161"/>
        <v>11103244.013571467</v>
      </c>
      <c r="E1782" s="789">
        <f t="shared" si="163"/>
        <v>1497066.6085714286</v>
      </c>
      <c r="F1782" s="789">
        <f t="shared" si="157"/>
        <v>9606177.4050000384</v>
      </c>
      <c r="G1782" s="736">
        <f t="shared" si="162"/>
        <v>10354710.709285753</v>
      </c>
      <c r="H1782" s="794">
        <f>+J1749*G1782+E1782</f>
        <v>2993361.9898788808</v>
      </c>
      <c r="I1782" s="795">
        <f>+J1750*G1782+E1782</f>
        <v>2993361.9898788808</v>
      </c>
      <c r="J1782" s="792">
        <f t="shared" si="164"/>
        <v>0</v>
      </c>
      <c r="K1782" s="792"/>
      <c r="L1782" s="812"/>
      <c r="M1782" s="792">
        <f t="shared" si="158"/>
        <v>0</v>
      </c>
      <c r="N1782" s="812"/>
      <c r="O1782" s="792">
        <f t="shared" si="159"/>
        <v>0</v>
      </c>
      <c r="P1782" s="792">
        <f t="shared" si="160"/>
        <v>0</v>
      </c>
    </row>
    <row r="1783" spans="3:16">
      <c r="C1783" s="788">
        <f>IF(D1748="","-",+C1782+1)</f>
        <v>2044</v>
      </c>
      <c r="D1783" s="736">
        <f t="shared" si="161"/>
        <v>9606177.4050000384</v>
      </c>
      <c r="E1783" s="789">
        <f t="shared" si="163"/>
        <v>1497066.6085714286</v>
      </c>
      <c r="F1783" s="789">
        <f t="shared" si="157"/>
        <v>8109110.7964286096</v>
      </c>
      <c r="G1783" s="736">
        <f t="shared" si="162"/>
        <v>8857644.100714324</v>
      </c>
      <c r="H1783" s="794">
        <f>+J1749*G1783+E1783</f>
        <v>2777030.1275211778</v>
      </c>
      <c r="I1783" s="795">
        <f>+J1750*G1783+E1783</f>
        <v>2777030.1275211778</v>
      </c>
      <c r="J1783" s="792">
        <f t="shared" si="164"/>
        <v>0</v>
      </c>
      <c r="K1783" s="792"/>
      <c r="L1783" s="812"/>
      <c r="M1783" s="792">
        <f t="shared" si="158"/>
        <v>0</v>
      </c>
      <c r="N1783" s="812"/>
      <c r="O1783" s="792">
        <f t="shared" si="159"/>
        <v>0</v>
      </c>
      <c r="P1783" s="792">
        <f t="shared" si="160"/>
        <v>0</v>
      </c>
    </row>
    <row r="1784" spans="3:16">
      <c r="C1784" s="788">
        <f>IF(D1748="","-",+C1783+1)</f>
        <v>2045</v>
      </c>
      <c r="D1784" s="736">
        <f t="shared" si="161"/>
        <v>8109110.7964286096</v>
      </c>
      <c r="E1784" s="789">
        <f t="shared" si="163"/>
        <v>1497066.6085714286</v>
      </c>
      <c r="F1784" s="789">
        <f t="shared" si="157"/>
        <v>6612044.1878571808</v>
      </c>
      <c r="G1784" s="736">
        <f t="shared" si="162"/>
        <v>7360577.4921428952</v>
      </c>
      <c r="H1784" s="794">
        <f>+J1749*G1784+E1784</f>
        <v>2560698.2651634747</v>
      </c>
      <c r="I1784" s="795">
        <f>+J1750*G1784+E1784</f>
        <v>2560698.2651634747</v>
      </c>
      <c r="J1784" s="792">
        <f t="shared" si="164"/>
        <v>0</v>
      </c>
      <c r="K1784" s="792"/>
      <c r="L1784" s="812"/>
      <c r="M1784" s="792">
        <f t="shared" si="158"/>
        <v>0</v>
      </c>
      <c r="N1784" s="812"/>
      <c r="O1784" s="792">
        <f t="shared" si="159"/>
        <v>0</v>
      </c>
      <c r="P1784" s="792">
        <f t="shared" si="160"/>
        <v>0</v>
      </c>
    </row>
    <row r="1785" spans="3:16">
      <c r="C1785" s="788">
        <f>IF(D1748="","-",+C1784+1)</f>
        <v>2046</v>
      </c>
      <c r="D1785" s="736">
        <f t="shared" si="161"/>
        <v>6612044.1878571808</v>
      </c>
      <c r="E1785" s="789">
        <f t="shared" si="163"/>
        <v>1497066.6085714286</v>
      </c>
      <c r="F1785" s="789">
        <f t="shared" si="157"/>
        <v>5114977.579285752</v>
      </c>
      <c r="G1785" s="736">
        <f t="shared" si="162"/>
        <v>5863510.8835714664</v>
      </c>
      <c r="H1785" s="794">
        <f>+J1749*G1785+E1785</f>
        <v>2344366.4028057717</v>
      </c>
      <c r="I1785" s="795">
        <f>+J1750*G1785+E1785</f>
        <v>2344366.4028057717</v>
      </c>
      <c r="J1785" s="792">
        <f t="shared" si="164"/>
        <v>0</v>
      </c>
      <c r="K1785" s="792"/>
      <c r="L1785" s="812"/>
      <c r="M1785" s="792">
        <f t="shared" si="158"/>
        <v>0</v>
      </c>
      <c r="N1785" s="812"/>
      <c r="O1785" s="792">
        <f t="shared" si="159"/>
        <v>0</v>
      </c>
      <c r="P1785" s="792">
        <f t="shared" si="160"/>
        <v>0</v>
      </c>
    </row>
    <row r="1786" spans="3:16">
      <c r="C1786" s="788">
        <f>IF(D1748="","-",+C1785+1)</f>
        <v>2047</v>
      </c>
      <c r="D1786" s="736">
        <f t="shared" si="161"/>
        <v>5114977.579285752</v>
      </c>
      <c r="E1786" s="789">
        <f t="shared" si="163"/>
        <v>1497066.6085714286</v>
      </c>
      <c r="F1786" s="789">
        <f t="shared" si="157"/>
        <v>3617910.9707143232</v>
      </c>
      <c r="G1786" s="736">
        <f t="shared" si="162"/>
        <v>4366444.2750000376</v>
      </c>
      <c r="H1786" s="794">
        <f>+J1749*G1786+E1786</f>
        <v>2128034.5404480682</v>
      </c>
      <c r="I1786" s="795">
        <f>+J1750*G1786+E1786</f>
        <v>2128034.5404480682</v>
      </c>
      <c r="J1786" s="792">
        <f t="shared" si="164"/>
        <v>0</v>
      </c>
      <c r="K1786" s="792"/>
      <c r="L1786" s="812"/>
      <c r="M1786" s="792">
        <f t="shared" si="158"/>
        <v>0</v>
      </c>
      <c r="N1786" s="812"/>
      <c r="O1786" s="792">
        <f t="shared" si="159"/>
        <v>0</v>
      </c>
      <c r="P1786" s="792">
        <f t="shared" si="160"/>
        <v>0</v>
      </c>
    </row>
    <row r="1787" spans="3:16">
      <c r="C1787" s="788">
        <f>IF(D1748="","-",+C1786+1)</f>
        <v>2048</v>
      </c>
      <c r="D1787" s="736">
        <f t="shared" si="161"/>
        <v>3617910.9707143232</v>
      </c>
      <c r="E1787" s="789">
        <f t="shared" si="163"/>
        <v>1497066.6085714286</v>
      </c>
      <c r="F1787" s="789">
        <f t="shared" si="157"/>
        <v>2120844.3621428944</v>
      </c>
      <c r="G1787" s="736">
        <f t="shared" si="162"/>
        <v>2869377.6664286088</v>
      </c>
      <c r="H1787" s="794">
        <f>+J1749*G1787+E1787</f>
        <v>1911702.6780903651</v>
      </c>
      <c r="I1787" s="795">
        <f>+J1750*G1787+E1787</f>
        <v>1911702.6780903651</v>
      </c>
      <c r="J1787" s="792">
        <f t="shared" si="164"/>
        <v>0</v>
      </c>
      <c r="K1787" s="792"/>
      <c r="L1787" s="812"/>
      <c r="M1787" s="792">
        <f t="shared" si="158"/>
        <v>0</v>
      </c>
      <c r="N1787" s="812"/>
      <c r="O1787" s="792">
        <f t="shared" si="159"/>
        <v>0</v>
      </c>
      <c r="P1787" s="792">
        <f t="shared" si="160"/>
        <v>0</v>
      </c>
    </row>
    <row r="1788" spans="3:16">
      <c r="C1788" s="788">
        <f>IF(D1748="","-",+C1787+1)</f>
        <v>2049</v>
      </c>
      <c r="D1788" s="736">
        <f t="shared" si="161"/>
        <v>2120844.3621428944</v>
      </c>
      <c r="E1788" s="789">
        <f t="shared" si="163"/>
        <v>1497066.6085714286</v>
      </c>
      <c r="F1788" s="789">
        <f t="shared" si="157"/>
        <v>623777.75357146584</v>
      </c>
      <c r="G1788" s="736">
        <f t="shared" si="162"/>
        <v>1372311.05785718</v>
      </c>
      <c r="H1788" s="794">
        <f>+J1749*G1788+E1788</f>
        <v>1695370.8157326619</v>
      </c>
      <c r="I1788" s="795">
        <f>+J1750*G1788+E1788</f>
        <v>1695370.8157326619</v>
      </c>
      <c r="J1788" s="792">
        <f t="shared" si="164"/>
        <v>0</v>
      </c>
      <c r="K1788" s="792"/>
      <c r="L1788" s="812"/>
      <c r="M1788" s="792">
        <f t="shared" si="158"/>
        <v>0</v>
      </c>
      <c r="N1788" s="812"/>
      <c r="O1788" s="792">
        <f t="shared" si="159"/>
        <v>0</v>
      </c>
      <c r="P1788" s="792">
        <f t="shared" si="160"/>
        <v>0</v>
      </c>
    </row>
    <row r="1789" spans="3:16">
      <c r="C1789" s="788">
        <f>IF(D1748="","-",+C1788+1)</f>
        <v>2050</v>
      </c>
      <c r="D1789" s="736">
        <f t="shared" si="161"/>
        <v>623777.75357146584</v>
      </c>
      <c r="E1789" s="789">
        <f t="shared" si="163"/>
        <v>623777.75357146584</v>
      </c>
      <c r="F1789" s="789">
        <f t="shared" si="157"/>
        <v>0</v>
      </c>
      <c r="G1789" s="736">
        <f t="shared" si="162"/>
        <v>311888.87678573292</v>
      </c>
      <c r="H1789" s="794">
        <f>+J1749*G1789+E1789</f>
        <v>668846.89156265673</v>
      </c>
      <c r="I1789" s="795">
        <f>+J1750*G1789+E1789</f>
        <v>668846.89156265673</v>
      </c>
      <c r="J1789" s="792">
        <f t="shared" si="164"/>
        <v>0</v>
      </c>
      <c r="K1789" s="792"/>
      <c r="L1789" s="812"/>
      <c r="M1789" s="792">
        <f t="shared" si="158"/>
        <v>0</v>
      </c>
      <c r="N1789" s="812"/>
      <c r="O1789" s="792">
        <f t="shared" si="159"/>
        <v>0</v>
      </c>
      <c r="P1789" s="792">
        <f t="shared" si="160"/>
        <v>0</v>
      </c>
    </row>
    <row r="1790" spans="3:16">
      <c r="C1790" s="788">
        <f>IF(D1748="","-",+C1789+1)</f>
        <v>2051</v>
      </c>
      <c r="D1790" s="736">
        <f t="shared" si="161"/>
        <v>0</v>
      </c>
      <c r="E1790" s="789">
        <f t="shared" si="163"/>
        <v>0</v>
      </c>
      <c r="F1790" s="789">
        <f t="shared" si="157"/>
        <v>0</v>
      </c>
      <c r="G1790" s="736">
        <f t="shared" si="162"/>
        <v>0</v>
      </c>
      <c r="H1790" s="794">
        <f>+J1749*G1790+E1790</f>
        <v>0</v>
      </c>
      <c r="I1790" s="795">
        <f>+J1750*G1790+E1790</f>
        <v>0</v>
      </c>
      <c r="J1790" s="792">
        <f t="shared" si="164"/>
        <v>0</v>
      </c>
      <c r="K1790" s="792"/>
      <c r="L1790" s="812"/>
      <c r="M1790" s="792">
        <f t="shared" si="158"/>
        <v>0</v>
      </c>
      <c r="N1790" s="812"/>
      <c r="O1790" s="792">
        <f t="shared" si="159"/>
        <v>0</v>
      </c>
      <c r="P1790" s="792">
        <f t="shared" si="160"/>
        <v>0</v>
      </c>
    </row>
    <row r="1791" spans="3:16">
      <c r="C1791" s="788">
        <f>IF(D1748="","-",+C1790+1)</f>
        <v>2052</v>
      </c>
      <c r="D1791" s="736">
        <f t="shared" si="161"/>
        <v>0</v>
      </c>
      <c r="E1791" s="789">
        <f t="shared" si="163"/>
        <v>0</v>
      </c>
      <c r="F1791" s="789">
        <f t="shared" si="157"/>
        <v>0</v>
      </c>
      <c r="G1791" s="736">
        <f t="shared" si="162"/>
        <v>0</v>
      </c>
      <c r="H1791" s="794">
        <f>+J1749*G1791+E1791</f>
        <v>0</v>
      </c>
      <c r="I1791" s="795">
        <f>+J1750*G1791+E1791</f>
        <v>0</v>
      </c>
      <c r="J1791" s="792">
        <f t="shared" si="164"/>
        <v>0</v>
      </c>
      <c r="K1791" s="792"/>
      <c r="L1791" s="812"/>
      <c r="M1791" s="792">
        <f t="shared" si="158"/>
        <v>0</v>
      </c>
      <c r="N1791" s="812"/>
      <c r="O1791" s="792">
        <f t="shared" si="159"/>
        <v>0</v>
      </c>
      <c r="P1791" s="792">
        <f t="shared" si="160"/>
        <v>0</v>
      </c>
    </row>
    <row r="1792" spans="3:16">
      <c r="C1792" s="788">
        <f>IF(D1748="","-",+C1791+1)</f>
        <v>2053</v>
      </c>
      <c r="D1792" s="736">
        <f t="shared" si="161"/>
        <v>0</v>
      </c>
      <c r="E1792" s="789">
        <f t="shared" si="163"/>
        <v>0</v>
      </c>
      <c r="F1792" s="789">
        <f t="shared" si="157"/>
        <v>0</v>
      </c>
      <c r="G1792" s="736">
        <f t="shared" si="162"/>
        <v>0</v>
      </c>
      <c r="H1792" s="794">
        <f>+J1749*G1792+E1792</f>
        <v>0</v>
      </c>
      <c r="I1792" s="795">
        <f>+J1750*G1792+E1792</f>
        <v>0</v>
      </c>
      <c r="J1792" s="792">
        <f t="shared" si="164"/>
        <v>0</v>
      </c>
      <c r="K1792" s="792"/>
      <c r="L1792" s="812"/>
      <c r="M1792" s="792">
        <f t="shared" si="158"/>
        <v>0</v>
      </c>
      <c r="N1792" s="812"/>
      <c r="O1792" s="792">
        <f t="shared" si="159"/>
        <v>0</v>
      </c>
      <c r="P1792" s="792">
        <f t="shared" si="160"/>
        <v>0</v>
      </c>
    </row>
    <row r="1793" spans="3:16">
      <c r="C1793" s="788">
        <f>IF(D1748="","-",+C1792+1)</f>
        <v>2054</v>
      </c>
      <c r="D1793" s="736">
        <f t="shared" si="161"/>
        <v>0</v>
      </c>
      <c r="E1793" s="789">
        <f t="shared" si="163"/>
        <v>0</v>
      </c>
      <c r="F1793" s="789">
        <f t="shared" si="157"/>
        <v>0</v>
      </c>
      <c r="G1793" s="736">
        <f t="shared" si="162"/>
        <v>0</v>
      </c>
      <c r="H1793" s="794">
        <f>+J1749*G1793+E1793</f>
        <v>0</v>
      </c>
      <c r="I1793" s="795">
        <f>+J1750*G1793+E1793</f>
        <v>0</v>
      </c>
      <c r="J1793" s="792">
        <f t="shared" si="164"/>
        <v>0</v>
      </c>
      <c r="K1793" s="792"/>
      <c r="L1793" s="812"/>
      <c r="M1793" s="792">
        <f t="shared" si="158"/>
        <v>0</v>
      </c>
      <c r="N1793" s="812"/>
      <c r="O1793" s="792">
        <f t="shared" si="159"/>
        <v>0</v>
      </c>
      <c r="P1793" s="792">
        <f t="shared" si="160"/>
        <v>0</v>
      </c>
    </row>
    <row r="1794" spans="3:16">
      <c r="C1794" s="788">
        <f>IF(D1748="","-",+C1793+1)</f>
        <v>2055</v>
      </c>
      <c r="D1794" s="736">
        <f t="shared" si="161"/>
        <v>0</v>
      </c>
      <c r="E1794" s="789">
        <f t="shared" si="163"/>
        <v>0</v>
      </c>
      <c r="F1794" s="789">
        <f t="shared" si="157"/>
        <v>0</v>
      </c>
      <c r="G1794" s="736">
        <f t="shared" si="162"/>
        <v>0</v>
      </c>
      <c r="H1794" s="794">
        <f>+J1749*G1794+E1794</f>
        <v>0</v>
      </c>
      <c r="I1794" s="795">
        <f>+J1750*G1794+E1794</f>
        <v>0</v>
      </c>
      <c r="J1794" s="792">
        <f t="shared" si="164"/>
        <v>0</v>
      </c>
      <c r="K1794" s="792"/>
      <c r="L1794" s="812"/>
      <c r="M1794" s="792">
        <f t="shared" si="158"/>
        <v>0</v>
      </c>
      <c r="N1794" s="812"/>
      <c r="O1794" s="792">
        <f t="shared" si="159"/>
        <v>0</v>
      </c>
      <c r="P1794" s="792">
        <f t="shared" si="160"/>
        <v>0</v>
      </c>
    </row>
    <row r="1795" spans="3:16">
      <c r="C1795" s="788">
        <f>IF(D1748="","-",+C1794+1)</f>
        <v>2056</v>
      </c>
      <c r="D1795" s="736">
        <f t="shared" si="161"/>
        <v>0</v>
      </c>
      <c r="E1795" s="789">
        <f t="shared" si="163"/>
        <v>0</v>
      </c>
      <c r="F1795" s="789">
        <f t="shared" si="157"/>
        <v>0</v>
      </c>
      <c r="G1795" s="736">
        <f t="shared" si="162"/>
        <v>0</v>
      </c>
      <c r="H1795" s="794">
        <f>+J1749*G1795+E1795</f>
        <v>0</v>
      </c>
      <c r="I1795" s="795">
        <f>+J1750*G1795+E1795</f>
        <v>0</v>
      </c>
      <c r="J1795" s="792">
        <f t="shared" si="164"/>
        <v>0</v>
      </c>
      <c r="K1795" s="792"/>
      <c r="L1795" s="812"/>
      <c r="M1795" s="792">
        <f t="shared" si="158"/>
        <v>0</v>
      </c>
      <c r="N1795" s="812"/>
      <c r="O1795" s="792">
        <f t="shared" si="159"/>
        <v>0</v>
      </c>
      <c r="P1795" s="792">
        <f t="shared" si="160"/>
        <v>0</v>
      </c>
    </row>
    <row r="1796" spans="3:16">
      <c r="C1796" s="788">
        <f>IF(D1748="","-",+C1795+1)</f>
        <v>2057</v>
      </c>
      <c r="D1796" s="736">
        <f t="shared" si="161"/>
        <v>0</v>
      </c>
      <c r="E1796" s="789">
        <f t="shared" si="163"/>
        <v>0</v>
      </c>
      <c r="F1796" s="789">
        <f t="shared" si="157"/>
        <v>0</v>
      </c>
      <c r="G1796" s="736">
        <f t="shared" si="162"/>
        <v>0</v>
      </c>
      <c r="H1796" s="794">
        <f>+J1749*G1796+E1796</f>
        <v>0</v>
      </c>
      <c r="I1796" s="795">
        <f>+J1750*G1796+E1796</f>
        <v>0</v>
      </c>
      <c r="J1796" s="792">
        <f t="shared" si="164"/>
        <v>0</v>
      </c>
      <c r="K1796" s="792"/>
      <c r="L1796" s="812"/>
      <c r="M1796" s="792">
        <f t="shared" si="158"/>
        <v>0</v>
      </c>
      <c r="N1796" s="812"/>
      <c r="O1796" s="792">
        <f t="shared" si="159"/>
        <v>0</v>
      </c>
      <c r="P1796" s="792">
        <f t="shared" si="160"/>
        <v>0</v>
      </c>
    </row>
    <row r="1797" spans="3:16">
      <c r="C1797" s="788">
        <f>IF(D1748="","-",+C1796+1)</f>
        <v>2058</v>
      </c>
      <c r="D1797" s="736">
        <f t="shared" si="161"/>
        <v>0</v>
      </c>
      <c r="E1797" s="789">
        <f t="shared" si="163"/>
        <v>0</v>
      </c>
      <c r="F1797" s="789">
        <f t="shared" si="157"/>
        <v>0</v>
      </c>
      <c r="G1797" s="736">
        <f t="shared" si="162"/>
        <v>0</v>
      </c>
      <c r="H1797" s="794">
        <f>+J1749*G1797+E1797</f>
        <v>0</v>
      </c>
      <c r="I1797" s="795">
        <f>+J1750*G1797+E1797</f>
        <v>0</v>
      </c>
      <c r="J1797" s="792">
        <f t="shared" si="164"/>
        <v>0</v>
      </c>
      <c r="K1797" s="792"/>
      <c r="L1797" s="812"/>
      <c r="M1797" s="792">
        <f t="shared" si="158"/>
        <v>0</v>
      </c>
      <c r="N1797" s="812"/>
      <c r="O1797" s="792">
        <f t="shared" si="159"/>
        <v>0</v>
      </c>
      <c r="P1797" s="792">
        <f t="shared" si="160"/>
        <v>0</v>
      </c>
    </row>
    <row r="1798" spans="3:16">
      <c r="C1798" s="788">
        <f>IF(D1748="","-",+C1797+1)</f>
        <v>2059</v>
      </c>
      <c r="D1798" s="736">
        <f t="shared" si="161"/>
        <v>0</v>
      </c>
      <c r="E1798" s="789">
        <f t="shared" si="163"/>
        <v>0</v>
      </c>
      <c r="F1798" s="789">
        <f t="shared" si="157"/>
        <v>0</v>
      </c>
      <c r="G1798" s="736">
        <f t="shared" si="162"/>
        <v>0</v>
      </c>
      <c r="H1798" s="794">
        <f>+J1749*G1798+E1798</f>
        <v>0</v>
      </c>
      <c r="I1798" s="795">
        <f>+J1750*G1798+E1798</f>
        <v>0</v>
      </c>
      <c r="J1798" s="792">
        <f t="shared" si="164"/>
        <v>0</v>
      </c>
      <c r="K1798" s="792"/>
      <c r="L1798" s="812"/>
      <c r="M1798" s="792">
        <f t="shared" si="158"/>
        <v>0</v>
      </c>
      <c r="N1798" s="812"/>
      <c r="O1798" s="792">
        <f t="shared" si="159"/>
        <v>0</v>
      </c>
      <c r="P1798" s="792">
        <f t="shared" si="160"/>
        <v>0</v>
      </c>
    </row>
    <row r="1799" spans="3:16">
      <c r="C1799" s="788">
        <f>IF(D1748="","-",+C1798+1)</f>
        <v>2060</v>
      </c>
      <c r="D1799" s="736">
        <f t="shared" si="161"/>
        <v>0</v>
      </c>
      <c r="E1799" s="789">
        <f t="shared" si="163"/>
        <v>0</v>
      </c>
      <c r="F1799" s="789">
        <f t="shared" si="157"/>
        <v>0</v>
      </c>
      <c r="G1799" s="736">
        <f t="shared" si="162"/>
        <v>0</v>
      </c>
      <c r="H1799" s="794">
        <f>+J1749*G1799+E1799</f>
        <v>0</v>
      </c>
      <c r="I1799" s="795">
        <f>+J1750*G1799+E1799</f>
        <v>0</v>
      </c>
      <c r="J1799" s="792">
        <f t="shared" si="164"/>
        <v>0</v>
      </c>
      <c r="K1799" s="792"/>
      <c r="L1799" s="812"/>
      <c r="M1799" s="792">
        <f t="shared" si="158"/>
        <v>0</v>
      </c>
      <c r="N1799" s="812"/>
      <c r="O1799" s="792">
        <f t="shared" si="159"/>
        <v>0</v>
      </c>
      <c r="P1799" s="792">
        <f t="shared" si="160"/>
        <v>0</v>
      </c>
    </row>
    <row r="1800" spans="3:16">
      <c r="C1800" s="788">
        <f>IF(D1748="","-",+C1799+1)</f>
        <v>2061</v>
      </c>
      <c r="D1800" s="736">
        <f t="shared" si="161"/>
        <v>0</v>
      </c>
      <c r="E1800" s="789">
        <f t="shared" si="163"/>
        <v>0</v>
      </c>
      <c r="F1800" s="789">
        <f t="shared" si="157"/>
        <v>0</v>
      </c>
      <c r="G1800" s="736">
        <f t="shared" si="162"/>
        <v>0</v>
      </c>
      <c r="H1800" s="794">
        <f>+J1749*G1800+E1800</f>
        <v>0</v>
      </c>
      <c r="I1800" s="795">
        <f>+J1750*G1800+E1800</f>
        <v>0</v>
      </c>
      <c r="J1800" s="792">
        <f t="shared" si="164"/>
        <v>0</v>
      </c>
      <c r="K1800" s="792"/>
      <c r="L1800" s="812"/>
      <c r="M1800" s="792">
        <f t="shared" si="158"/>
        <v>0</v>
      </c>
      <c r="N1800" s="812"/>
      <c r="O1800" s="792">
        <f t="shared" si="159"/>
        <v>0</v>
      </c>
      <c r="P1800" s="792">
        <f t="shared" si="160"/>
        <v>0</v>
      </c>
    </row>
    <row r="1801" spans="3:16">
      <c r="C1801" s="788">
        <f>IF(D1748="","-",+C1800+1)</f>
        <v>2062</v>
      </c>
      <c r="D1801" s="736">
        <f t="shared" si="161"/>
        <v>0</v>
      </c>
      <c r="E1801" s="789">
        <f t="shared" si="163"/>
        <v>0</v>
      </c>
      <c r="F1801" s="789">
        <f t="shared" si="157"/>
        <v>0</v>
      </c>
      <c r="G1801" s="736">
        <f t="shared" si="162"/>
        <v>0</v>
      </c>
      <c r="H1801" s="794">
        <f>+J1749*G1801+E1801</f>
        <v>0</v>
      </c>
      <c r="I1801" s="795">
        <f>+J1750*G1801+E1801</f>
        <v>0</v>
      </c>
      <c r="J1801" s="792">
        <f t="shared" si="164"/>
        <v>0</v>
      </c>
      <c r="K1801" s="792"/>
      <c r="L1801" s="812"/>
      <c r="M1801" s="792">
        <f t="shared" si="158"/>
        <v>0</v>
      </c>
      <c r="N1801" s="812"/>
      <c r="O1801" s="792">
        <f t="shared" si="159"/>
        <v>0</v>
      </c>
      <c r="P1801" s="792">
        <f t="shared" si="160"/>
        <v>0</v>
      </c>
    </row>
    <row r="1802" spans="3:16">
      <c r="C1802" s="788">
        <f>IF(D1748="","-",+C1801+1)</f>
        <v>2063</v>
      </c>
      <c r="D1802" s="736">
        <f t="shared" si="161"/>
        <v>0</v>
      </c>
      <c r="E1802" s="789">
        <f t="shared" si="163"/>
        <v>0</v>
      </c>
      <c r="F1802" s="789">
        <f t="shared" si="157"/>
        <v>0</v>
      </c>
      <c r="G1802" s="736">
        <f t="shared" si="162"/>
        <v>0</v>
      </c>
      <c r="H1802" s="794">
        <f>+J1749*G1802+E1802</f>
        <v>0</v>
      </c>
      <c r="I1802" s="795">
        <f>+J1750*G1802+E1802</f>
        <v>0</v>
      </c>
      <c r="J1802" s="792">
        <f t="shared" si="164"/>
        <v>0</v>
      </c>
      <c r="K1802" s="792"/>
      <c r="L1802" s="812"/>
      <c r="M1802" s="792">
        <f t="shared" si="158"/>
        <v>0</v>
      </c>
      <c r="N1802" s="812"/>
      <c r="O1802" s="792">
        <f t="shared" si="159"/>
        <v>0</v>
      </c>
      <c r="P1802" s="792">
        <f t="shared" si="160"/>
        <v>0</v>
      </c>
    </row>
    <row r="1803" spans="3:16">
      <c r="C1803" s="788">
        <f>IF(D1748="","-",+C1802+1)</f>
        <v>2064</v>
      </c>
      <c r="D1803" s="736">
        <f t="shared" si="161"/>
        <v>0</v>
      </c>
      <c r="E1803" s="789">
        <f t="shared" si="163"/>
        <v>0</v>
      </c>
      <c r="F1803" s="789">
        <f t="shared" si="157"/>
        <v>0</v>
      </c>
      <c r="G1803" s="736">
        <f t="shared" si="162"/>
        <v>0</v>
      </c>
      <c r="H1803" s="794">
        <f>+J1749*G1803+E1803</f>
        <v>0</v>
      </c>
      <c r="I1803" s="795">
        <f>+J1750*G1803+E1803</f>
        <v>0</v>
      </c>
      <c r="J1803" s="792">
        <f t="shared" si="164"/>
        <v>0</v>
      </c>
      <c r="K1803" s="792"/>
      <c r="L1803" s="812"/>
      <c r="M1803" s="792">
        <f t="shared" si="158"/>
        <v>0</v>
      </c>
      <c r="N1803" s="812"/>
      <c r="O1803" s="792">
        <f t="shared" si="159"/>
        <v>0</v>
      </c>
      <c r="P1803" s="792">
        <f t="shared" si="160"/>
        <v>0</v>
      </c>
    </row>
    <row r="1804" spans="3:16">
      <c r="C1804" s="788">
        <f>IF(D1748="","-",+C1803+1)</f>
        <v>2065</v>
      </c>
      <c r="D1804" s="736">
        <f t="shared" si="161"/>
        <v>0</v>
      </c>
      <c r="E1804" s="789">
        <f t="shared" si="163"/>
        <v>0</v>
      </c>
      <c r="F1804" s="789">
        <f t="shared" si="157"/>
        <v>0</v>
      </c>
      <c r="G1804" s="736">
        <f t="shared" si="162"/>
        <v>0</v>
      </c>
      <c r="H1804" s="794">
        <f>+J1749*G1804+E1804</f>
        <v>0</v>
      </c>
      <c r="I1804" s="795">
        <f>+J1750*G1804+E1804</f>
        <v>0</v>
      </c>
      <c r="J1804" s="792">
        <f t="shared" si="164"/>
        <v>0</v>
      </c>
      <c r="K1804" s="792"/>
      <c r="L1804" s="812"/>
      <c r="M1804" s="792">
        <f t="shared" si="158"/>
        <v>0</v>
      </c>
      <c r="N1804" s="812"/>
      <c r="O1804" s="792">
        <f t="shared" si="159"/>
        <v>0</v>
      </c>
      <c r="P1804" s="792">
        <f t="shared" si="160"/>
        <v>0</v>
      </c>
    </row>
    <row r="1805" spans="3:16">
      <c r="C1805" s="788">
        <f>IF(D1748="","-",+C1804+1)</f>
        <v>2066</v>
      </c>
      <c r="D1805" s="736">
        <f t="shared" si="161"/>
        <v>0</v>
      </c>
      <c r="E1805" s="789">
        <f t="shared" si="163"/>
        <v>0</v>
      </c>
      <c r="F1805" s="789">
        <f t="shared" si="157"/>
        <v>0</v>
      </c>
      <c r="G1805" s="736">
        <f t="shared" si="162"/>
        <v>0</v>
      </c>
      <c r="H1805" s="794">
        <f>+J1749*G1805+E1805</f>
        <v>0</v>
      </c>
      <c r="I1805" s="795">
        <f>+J1750*G1805+E1805</f>
        <v>0</v>
      </c>
      <c r="J1805" s="792">
        <f t="shared" si="164"/>
        <v>0</v>
      </c>
      <c r="K1805" s="792"/>
      <c r="L1805" s="812"/>
      <c r="M1805" s="792">
        <f t="shared" si="158"/>
        <v>0</v>
      </c>
      <c r="N1805" s="812"/>
      <c r="O1805" s="792">
        <f t="shared" si="159"/>
        <v>0</v>
      </c>
      <c r="P1805" s="792">
        <f t="shared" si="160"/>
        <v>0</v>
      </c>
    </row>
    <row r="1806" spans="3:16">
      <c r="C1806" s="788">
        <f>IF(D1748="","-",+C1805+1)</f>
        <v>2067</v>
      </c>
      <c r="D1806" s="736">
        <f t="shared" si="161"/>
        <v>0</v>
      </c>
      <c r="E1806" s="789">
        <f t="shared" si="163"/>
        <v>0</v>
      </c>
      <c r="F1806" s="789">
        <f t="shared" si="157"/>
        <v>0</v>
      </c>
      <c r="G1806" s="736">
        <f t="shared" si="162"/>
        <v>0</v>
      </c>
      <c r="H1806" s="794">
        <f>+J1749*G1806+E1806</f>
        <v>0</v>
      </c>
      <c r="I1806" s="795">
        <f>+J1750*G1806+E1806</f>
        <v>0</v>
      </c>
      <c r="J1806" s="792">
        <f t="shared" si="164"/>
        <v>0</v>
      </c>
      <c r="K1806" s="792"/>
      <c r="L1806" s="812"/>
      <c r="M1806" s="792">
        <f t="shared" si="158"/>
        <v>0</v>
      </c>
      <c r="N1806" s="812"/>
      <c r="O1806" s="792">
        <f t="shared" si="159"/>
        <v>0</v>
      </c>
      <c r="P1806" s="792">
        <f t="shared" si="160"/>
        <v>0</v>
      </c>
    </row>
    <row r="1807" spans="3:16">
      <c r="C1807" s="788">
        <f>IF(D1748="","-",+C1806+1)</f>
        <v>2068</v>
      </c>
      <c r="D1807" s="736">
        <f t="shared" si="161"/>
        <v>0</v>
      </c>
      <c r="E1807" s="789">
        <f t="shared" si="163"/>
        <v>0</v>
      </c>
      <c r="F1807" s="789">
        <f t="shared" si="157"/>
        <v>0</v>
      </c>
      <c r="G1807" s="736">
        <f t="shared" si="162"/>
        <v>0</v>
      </c>
      <c r="H1807" s="794">
        <f>+J1749*G1807+E1807</f>
        <v>0</v>
      </c>
      <c r="I1807" s="795">
        <f>+J1750*G1807+E1807</f>
        <v>0</v>
      </c>
      <c r="J1807" s="792">
        <f t="shared" si="164"/>
        <v>0</v>
      </c>
      <c r="K1807" s="792"/>
      <c r="L1807" s="812"/>
      <c r="M1807" s="792">
        <f t="shared" si="158"/>
        <v>0</v>
      </c>
      <c r="N1807" s="812"/>
      <c r="O1807" s="792">
        <f t="shared" si="159"/>
        <v>0</v>
      </c>
      <c r="P1807" s="792">
        <f t="shared" si="160"/>
        <v>0</v>
      </c>
    </row>
    <row r="1808" spans="3:16">
      <c r="C1808" s="788">
        <f>IF(D1748="","-",+C1807+1)</f>
        <v>2069</v>
      </c>
      <c r="D1808" s="736">
        <f t="shared" si="161"/>
        <v>0</v>
      </c>
      <c r="E1808" s="789">
        <f t="shared" si="163"/>
        <v>0</v>
      </c>
      <c r="F1808" s="789">
        <f t="shared" si="157"/>
        <v>0</v>
      </c>
      <c r="G1808" s="736">
        <f t="shared" si="162"/>
        <v>0</v>
      </c>
      <c r="H1808" s="794">
        <f>+J1749*G1808+E1808</f>
        <v>0</v>
      </c>
      <c r="I1808" s="795">
        <f>+J1750*G1808+E1808</f>
        <v>0</v>
      </c>
      <c r="J1808" s="792">
        <f t="shared" si="164"/>
        <v>0</v>
      </c>
      <c r="K1808" s="792"/>
      <c r="L1808" s="812"/>
      <c r="M1808" s="792">
        <f t="shared" si="158"/>
        <v>0</v>
      </c>
      <c r="N1808" s="812"/>
      <c r="O1808" s="792">
        <f t="shared" si="159"/>
        <v>0</v>
      </c>
      <c r="P1808" s="792">
        <f t="shared" si="160"/>
        <v>0</v>
      </c>
    </row>
    <row r="1809" spans="1:17">
      <c r="C1809" s="788">
        <f>IF(D1748="","-",+C1808+1)</f>
        <v>2070</v>
      </c>
      <c r="D1809" s="736">
        <f t="shared" si="161"/>
        <v>0</v>
      </c>
      <c r="E1809" s="789">
        <f t="shared" si="163"/>
        <v>0</v>
      </c>
      <c r="F1809" s="789">
        <f t="shared" si="157"/>
        <v>0</v>
      </c>
      <c r="G1809" s="736">
        <f t="shared" si="162"/>
        <v>0</v>
      </c>
      <c r="H1809" s="794">
        <f>+J1749*G1809+E1809</f>
        <v>0</v>
      </c>
      <c r="I1809" s="795">
        <f>+J1750*G1809+E1809</f>
        <v>0</v>
      </c>
      <c r="J1809" s="792">
        <f t="shared" si="164"/>
        <v>0</v>
      </c>
      <c r="K1809" s="792"/>
      <c r="L1809" s="812"/>
      <c r="M1809" s="792">
        <f t="shared" si="158"/>
        <v>0</v>
      </c>
      <c r="N1809" s="812"/>
      <c r="O1809" s="792">
        <f t="shared" si="159"/>
        <v>0</v>
      </c>
      <c r="P1809" s="792">
        <f t="shared" si="160"/>
        <v>0</v>
      </c>
    </row>
    <row r="1810" spans="1:17">
      <c r="C1810" s="788">
        <f>IF(D1748="","-",+C1809+1)</f>
        <v>2071</v>
      </c>
      <c r="D1810" s="736">
        <f t="shared" si="161"/>
        <v>0</v>
      </c>
      <c r="E1810" s="789">
        <f t="shared" si="163"/>
        <v>0</v>
      </c>
      <c r="F1810" s="789">
        <f t="shared" si="157"/>
        <v>0</v>
      </c>
      <c r="G1810" s="736">
        <f t="shared" si="162"/>
        <v>0</v>
      </c>
      <c r="H1810" s="794">
        <f>+J1749*G1810+E1810</f>
        <v>0</v>
      </c>
      <c r="I1810" s="795">
        <f>+J1750*G1810+E1810</f>
        <v>0</v>
      </c>
      <c r="J1810" s="792">
        <f t="shared" si="164"/>
        <v>0</v>
      </c>
      <c r="K1810" s="792"/>
      <c r="L1810" s="812"/>
      <c r="M1810" s="792">
        <f t="shared" si="158"/>
        <v>0</v>
      </c>
      <c r="N1810" s="812"/>
      <c r="O1810" s="792">
        <f t="shared" si="159"/>
        <v>0</v>
      </c>
      <c r="P1810" s="792">
        <f t="shared" si="160"/>
        <v>0</v>
      </c>
    </row>
    <row r="1811" spans="1:17">
      <c r="C1811" s="788">
        <f>IF(D1748="","-",+C1810+1)</f>
        <v>2072</v>
      </c>
      <c r="D1811" s="736">
        <f t="shared" si="161"/>
        <v>0</v>
      </c>
      <c r="E1811" s="789">
        <f t="shared" si="163"/>
        <v>0</v>
      </c>
      <c r="F1811" s="789">
        <f t="shared" si="157"/>
        <v>0</v>
      </c>
      <c r="G1811" s="736">
        <f t="shared" si="162"/>
        <v>0</v>
      </c>
      <c r="H1811" s="794">
        <f>+J1749*G1811+E1811</f>
        <v>0</v>
      </c>
      <c r="I1811" s="795">
        <f>+J1750*G1811+E1811</f>
        <v>0</v>
      </c>
      <c r="J1811" s="792">
        <f t="shared" si="164"/>
        <v>0</v>
      </c>
      <c r="K1811" s="792"/>
      <c r="L1811" s="812"/>
      <c r="M1811" s="792">
        <f t="shared" si="158"/>
        <v>0</v>
      </c>
      <c r="N1811" s="812"/>
      <c r="O1811" s="792">
        <f t="shared" si="159"/>
        <v>0</v>
      </c>
      <c r="P1811" s="792">
        <f t="shared" si="160"/>
        <v>0</v>
      </c>
    </row>
    <row r="1812" spans="1:17">
      <c r="C1812" s="788">
        <f>IF(D1748="","-",+C1811+1)</f>
        <v>2073</v>
      </c>
      <c r="D1812" s="736">
        <f t="shared" si="161"/>
        <v>0</v>
      </c>
      <c r="E1812" s="789">
        <f t="shared" si="163"/>
        <v>0</v>
      </c>
      <c r="F1812" s="789">
        <f t="shared" si="157"/>
        <v>0</v>
      </c>
      <c r="G1812" s="736">
        <f t="shared" si="162"/>
        <v>0</v>
      </c>
      <c r="H1812" s="794">
        <f>+J1749*G1812+E1812</f>
        <v>0</v>
      </c>
      <c r="I1812" s="795">
        <f>+J1750*G1812+E1812</f>
        <v>0</v>
      </c>
      <c r="J1812" s="792">
        <f t="shared" si="164"/>
        <v>0</v>
      </c>
      <c r="K1812" s="792"/>
      <c r="L1812" s="812"/>
      <c r="M1812" s="792">
        <f t="shared" si="158"/>
        <v>0</v>
      </c>
      <c r="N1812" s="812"/>
      <c r="O1812" s="792">
        <f t="shared" si="159"/>
        <v>0</v>
      </c>
      <c r="P1812" s="792">
        <f t="shared" si="160"/>
        <v>0</v>
      </c>
    </row>
    <row r="1813" spans="1:17" ht="13.5" thickBot="1">
      <c r="C1813" s="798">
        <f>IF(D1748="","-",+C1812+1)</f>
        <v>2074</v>
      </c>
      <c r="D1813" s="799">
        <f t="shared" si="161"/>
        <v>0</v>
      </c>
      <c r="E1813" s="800">
        <f>IF(D1813&gt;$J$1055,$J$1055,D1813)</f>
        <v>0</v>
      </c>
      <c r="F1813" s="1322">
        <f t="shared" si="157"/>
        <v>0</v>
      </c>
      <c r="G1813" s="799">
        <f t="shared" si="162"/>
        <v>0</v>
      </c>
      <c r="H1813" s="801">
        <f>+J1749*G1813+E1813</f>
        <v>0</v>
      </c>
      <c r="I1813" s="801">
        <f>+J1750*G1813+E1813</f>
        <v>0</v>
      </c>
      <c r="J1813" s="802">
        <f t="shared" si="164"/>
        <v>0</v>
      </c>
      <c r="K1813" s="792"/>
      <c r="L1813" s="813"/>
      <c r="M1813" s="802">
        <f t="shared" si="158"/>
        <v>0</v>
      </c>
      <c r="N1813" s="813"/>
      <c r="O1813" s="802">
        <f t="shared" si="159"/>
        <v>0</v>
      </c>
      <c r="P1813" s="802">
        <f t="shared" si="160"/>
        <v>0</v>
      </c>
    </row>
    <row r="1814" spans="1:17">
      <c r="C1814" s="736" t="s">
        <v>83</v>
      </c>
      <c r="D1814" s="730"/>
      <c r="E1814" s="730">
        <f>SUM(E1754:E1813)</f>
        <v>52397331.299999997</v>
      </c>
      <c r="F1814" s="730"/>
      <c r="G1814" s="730"/>
      <c r="H1814" s="730">
        <f>SUM(H1754:H1813)</f>
        <v>188055436.6534766</v>
      </c>
      <c r="I1814" s="730">
        <f>SUM(I1754:I1813)</f>
        <v>188055436.6534766</v>
      </c>
      <c r="J1814" s="730">
        <f>SUM(J1754:J1813)</f>
        <v>0</v>
      </c>
      <c r="K1814" s="730"/>
      <c r="L1814" s="730"/>
      <c r="M1814" s="730"/>
      <c r="N1814" s="730"/>
      <c r="O1814" s="730"/>
    </row>
    <row r="1815" spans="1:17">
      <c r="D1815" s="538"/>
      <c r="E1815" s="313"/>
      <c r="F1815" s="313"/>
      <c r="G1815" s="313"/>
      <c r="H1815" s="313"/>
      <c r="I1815" s="708"/>
      <c r="J1815" s="708"/>
      <c r="K1815" s="730"/>
      <c r="L1815" s="708"/>
      <c r="M1815" s="708"/>
      <c r="N1815" s="708"/>
      <c r="O1815" s="708"/>
    </row>
    <row r="1816" spans="1:17">
      <c r="C1816" s="313" t="s">
        <v>13</v>
      </c>
      <c r="D1816" s="538"/>
      <c r="E1816" s="313"/>
      <c r="F1816" s="313"/>
      <c r="G1816" s="313"/>
      <c r="H1816" s="313"/>
      <c r="I1816" s="708"/>
      <c r="J1816" s="708"/>
      <c r="K1816" s="730"/>
      <c r="L1816" s="708"/>
      <c r="M1816" s="708"/>
      <c r="N1816" s="708"/>
      <c r="O1816" s="708"/>
    </row>
    <row r="1817" spans="1:17">
      <c r="C1817" s="313"/>
      <c r="D1817" s="538"/>
      <c r="E1817" s="313"/>
      <c r="F1817" s="313"/>
      <c r="G1817" s="313"/>
      <c r="H1817" s="313"/>
      <c r="I1817" s="708"/>
      <c r="J1817" s="708"/>
      <c r="K1817" s="730"/>
      <c r="L1817" s="708"/>
      <c r="M1817" s="708"/>
      <c r="N1817" s="708"/>
      <c r="O1817" s="708"/>
    </row>
    <row r="1818" spans="1:17">
      <c r="C1818" s="749" t="s">
        <v>14</v>
      </c>
      <c r="D1818" s="736"/>
      <c r="E1818" s="736"/>
      <c r="F1818" s="736"/>
      <c r="G1818" s="736"/>
      <c r="H1818" s="730"/>
      <c r="I1818" s="730"/>
      <c r="J1818" s="804"/>
      <c r="K1818" s="804"/>
      <c r="L1818" s="804"/>
      <c r="M1818" s="804"/>
      <c r="N1818" s="804"/>
      <c r="O1818" s="804"/>
    </row>
    <row r="1819" spans="1:17">
      <c r="C1819" s="735" t="s">
        <v>263</v>
      </c>
      <c r="D1819" s="736"/>
      <c r="E1819" s="736"/>
      <c r="F1819" s="736"/>
      <c r="G1819" s="736"/>
      <c r="H1819" s="730"/>
      <c r="I1819" s="730"/>
      <c r="J1819" s="804"/>
      <c r="K1819" s="804"/>
      <c r="L1819" s="804"/>
      <c r="M1819" s="804"/>
      <c r="N1819" s="804"/>
      <c r="O1819" s="804"/>
    </row>
    <row r="1820" spans="1:17">
      <c r="C1820" s="735" t="s">
        <v>84</v>
      </c>
      <c r="D1820" s="736"/>
      <c r="E1820" s="736"/>
      <c r="F1820" s="736"/>
      <c r="G1820" s="736"/>
      <c r="H1820" s="730"/>
      <c r="I1820" s="730"/>
      <c r="J1820" s="804"/>
      <c r="K1820" s="804"/>
      <c r="L1820" s="804"/>
      <c r="M1820" s="804"/>
      <c r="N1820" s="804"/>
      <c r="O1820" s="804"/>
    </row>
    <row r="1822" spans="1:17" ht="20.25">
      <c r="A1822" s="737" t="str">
        <f>""&amp;A1746&amp;" Worksheet K -  ATRR TRUE-UP Calculation for PJM Projects Charged to Benefiting Zones"</f>
        <v xml:space="preserve"> Worksheet K -  ATRR TRUE-UP Calculation for PJM Projects Charged to Benefiting Zones</v>
      </c>
      <c r="B1822" s="347"/>
      <c r="C1822" s="725"/>
      <c r="D1822" s="538"/>
      <c r="E1822" s="313"/>
      <c r="F1822" s="707"/>
      <c r="G1822" s="707"/>
      <c r="H1822" s="313"/>
      <c r="I1822" s="708"/>
      <c r="L1822" s="564"/>
      <c r="M1822" s="564"/>
      <c r="N1822" s="564"/>
      <c r="O1822" s="653" t="str">
        <f>"Page "&amp;SUM(Q$8:Q1822)&amp;" of "</f>
        <v xml:space="preserve">Page 22 of </v>
      </c>
      <c r="P1822" s="654">
        <f>COUNT(Q$8:Q$57703)</f>
        <v>22</v>
      </c>
      <c r="Q1822" s="655">
        <v>1</v>
      </c>
    </row>
    <row r="1823" spans="1:17">
      <c r="B1823" s="347"/>
      <c r="C1823" s="313"/>
      <c r="D1823" s="538"/>
      <c r="E1823" s="313"/>
      <c r="F1823" s="313"/>
      <c r="G1823" s="313"/>
      <c r="H1823" s="313"/>
      <c r="I1823" s="708"/>
      <c r="J1823" s="313"/>
      <c r="K1823" s="426"/>
    </row>
    <row r="1824" spans="1:17" ht="18">
      <c r="B1824" s="657" t="s">
        <v>466</v>
      </c>
      <c r="C1824" s="739" t="s">
        <v>85</v>
      </c>
      <c r="D1824" s="538"/>
      <c r="E1824" s="313"/>
      <c r="F1824" s="313"/>
      <c r="G1824" s="313"/>
      <c r="H1824" s="313"/>
      <c r="I1824" s="708"/>
      <c r="J1824" s="708"/>
      <c r="K1824" s="730"/>
      <c r="L1824" s="708"/>
      <c r="M1824" s="708"/>
      <c r="N1824" s="708"/>
      <c r="O1824" s="708"/>
    </row>
    <row r="1825" spans="2:16" ht="18.75">
      <c r="B1825" s="657"/>
      <c r="C1825" s="656"/>
      <c r="D1825" s="538"/>
      <c r="E1825" s="313"/>
      <c r="F1825" s="313"/>
      <c r="G1825" s="313"/>
      <c r="H1825" s="313"/>
      <c r="I1825" s="708"/>
      <c r="J1825" s="708"/>
      <c r="K1825" s="730"/>
      <c r="L1825" s="708"/>
      <c r="M1825" s="708"/>
      <c r="N1825" s="708"/>
      <c r="O1825" s="708"/>
    </row>
    <row r="1826" spans="2:16" ht="18.75">
      <c r="B1826" s="657"/>
      <c r="C1826" s="656" t="s">
        <v>86</v>
      </c>
      <c r="D1826" s="538"/>
      <c r="E1826" s="313"/>
      <c r="F1826" s="313"/>
      <c r="G1826" s="313"/>
      <c r="H1826" s="313"/>
      <c r="I1826" s="708"/>
      <c r="J1826" s="708"/>
      <c r="K1826" s="730"/>
      <c r="L1826" s="708"/>
      <c r="M1826" s="708"/>
      <c r="N1826" s="708"/>
      <c r="O1826" s="708"/>
    </row>
    <row r="1827" spans="2:16" ht="15.75" thickBot="1">
      <c r="C1827" s="239"/>
      <c r="D1827" s="538"/>
      <c r="E1827" s="313"/>
      <c r="F1827" s="313"/>
      <c r="G1827" s="313"/>
      <c r="H1827" s="313"/>
      <c r="I1827" s="708"/>
      <c r="J1827" s="708"/>
      <c r="K1827" s="730"/>
      <c r="L1827" s="708"/>
      <c r="M1827" s="708"/>
      <c r="N1827" s="708"/>
      <c r="O1827" s="708"/>
    </row>
    <row r="1828" spans="2:16" ht="15.75">
      <c r="C1828" s="659" t="s">
        <v>87</v>
      </c>
      <c r="D1828" s="538"/>
      <c r="E1828" s="313"/>
      <c r="F1828" s="313"/>
      <c r="G1828" s="313"/>
      <c r="H1828" s="806"/>
      <c r="I1828" s="313" t="s">
        <v>66</v>
      </c>
      <c r="J1828" s="313"/>
      <c r="K1828" s="426"/>
      <c r="L1828" s="835">
        <f>+J1834</f>
        <v>2023</v>
      </c>
      <c r="M1828" s="816" t="s">
        <v>45</v>
      </c>
      <c r="N1828" s="816" t="s">
        <v>46</v>
      </c>
      <c r="O1828" s="817" t="s">
        <v>47</v>
      </c>
    </row>
    <row r="1829" spans="2:16" ht="15.75">
      <c r="C1829" s="659"/>
      <c r="D1829" s="538"/>
      <c r="E1829" s="313"/>
      <c r="F1829" s="313"/>
      <c r="H1829" s="313"/>
      <c r="I1829" s="744"/>
      <c r="J1829" s="744"/>
      <c r="K1829" s="745"/>
      <c r="L1829" s="836" t="s">
        <v>235</v>
      </c>
      <c r="M1829" s="837">
        <f>VLOOKUP(J1834,C1841:P1900,10)</f>
        <v>416161.16029641713</v>
      </c>
      <c r="N1829" s="837">
        <f>VLOOKUP(J1834,C1841:P1900,12)</f>
        <v>416161.16029641713</v>
      </c>
      <c r="O1829" s="838">
        <f>+N1829-M1829</f>
        <v>0</v>
      </c>
    </row>
    <row r="1830" spans="2:16" ht="12.95" customHeight="1">
      <c r="C1830" s="749" t="s">
        <v>88</v>
      </c>
      <c r="D1830" s="1537" t="s">
        <v>830</v>
      </c>
      <c r="E1830" s="1537"/>
      <c r="F1830" s="1537"/>
      <c r="G1830" s="1537"/>
      <c r="H1830" s="1537"/>
      <c r="I1830" s="1537"/>
      <c r="J1830" s="708"/>
      <c r="K1830" s="730"/>
      <c r="L1830" s="836" t="s">
        <v>236</v>
      </c>
      <c r="M1830" s="839">
        <f>VLOOKUP(J1834,C1841:P1900,6)</f>
        <v>398155.20420106943</v>
      </c>
      <c r="N1830" s="839">
        <f>VLOOKUP(J1834,C1841:P1900,7)</f>
        <v>398155.20420106943</v>
      </c>
      <c r="O1830" s="840">
        <f>+N1830-M1830</f>
        <v>0</v>
      </c>
    </row>
    <row r="1831" spans="2:16" ht="13.5" thickBot="1">
      <c r="C1831" s="753"/>
      <c r="D1831" s="1537" t="s">
        <v>408</v>
      </c>
      <c r="E1831" s="1537"/>
      <c r="F1831" s="1537"/>
      <c r="G1831" s="1537"/>
      <c r="H1831" s="1537"/>
      <c r="I1831" s="1537"/>
      <c r="J1831" s="708"/>
      <c r="K1831" s="730"/>
      <c r="L1831" s="772" t="s">
        <v>237</v>
      </c>
      <c r="M1831" s="841">
        <f>+M1830-M1829</f>
        <v>-18005.956095347705</v>
      </c>
      <c r="N1831" s="841">
        <f>+N1830-N1829</f>
        <v>-18005.956095347705</v>
      </c>
      <c r="O1831" s="842">
        <f>+O1830-O1829</f>
        <v>0</v>
      </c>
    </row>
    <row r="1832" spans="2:16" ht="13.5" thickBot="1">
      <c r="C1832" s="756"/>
      <c r="D1832" s="757"/>
      <c r="E1832" s="755"/>
      <c r="F1832" s="755"/>
      <c r="G1832" s="755"/>
      <c r="H1832" s="755"/>
      <c r="I1832" s="755"/>
      <c r="J1832" s="755"/>
      <c r="K1832" s="758"/>
      <c r="L1832" s="755"/>
      <c r="M1832" s="755"/>
      <c r="N1832" s="755"/>
      <c r="O1832" s="755"/>
      <c r="P1832" s="347"/>
    </row>
    <row r="1833" spans="2:16" ht="13.5" thickBot="1">
      <c r="C1833" s="759" t="s">
        <v>89</v>
      </c>
      <c r="D1833" s="760"/>
      <c r="E1833" s="760"/>
      <c r="F1833" s="760"/>
      <c r="G1833" s="760"/>
      <c r="H1833" s="760"/>
      <c r="I1833" s="760"/>
      <c r="J1833" s="760"/>
      <c r="K1833" s="762"/>
      <c r="P1833" s="763"/>
    </row>
    <row r="1834" spans="2:16" ht="15">
      <c r="C1834" s="764" t="s">
        <v>67</v>
      </c>
      <c r="D1834" s="808">
        <v>2647880.44</v>
      </c>
      <c r="E1834" s="725" t="s">
        <v>68</v>
      </c>
      <c r="H1834" s="765"/>
      <c r="I1834" s="765"/>
      <c r="J1834" s="766">
        <f>$J$93</f>
        <v>2023</v>
      </c>
      <c r="K1834" s="554"/>
      <c r="L1834" s="1536" t="s">
        <v>69</v>
      </c>
      <c r="M1834" s="1536"/>
      <c r="N1834" s="1536"/>
      <c r="O1834" s="1536"/>
      <c r="P1834" s="426"/>
    </row>
    <row r="1835" spans="2:16">
      <c r="C1835" s="764" t="s">
        <v>70</v>
      </c>
      <c r="D1835" s="809">
        <v>2017</v>
      </c>
      <c r="E1835" s="764" t="s">
        <v>71</v>
      </c>
      <c r="F1835" s="765"/>
      <c r="G1835" s="765"/>
      <c r="I1835" s="172"/>
      <c r="J1835" s="810">
        <f>IF(H1828="",0,$F$17)</f>
        <v>0</v>
      </c>
      <c r="K1835" s="767"/>
      <c r="L1835" s="730" t="s">
        <v>277</v>
      </c>
      <c r="P1835" s="426"/>
    </row>
    <row r="1836" spans="2:16">
      <c r="C1836" s="764" t="s">
        <v>72</v>
      </c>
      <c r="D1836" s="808">
        <v>12</v>
      </c>
      <c r="E1836" s="764" t="s">
        <v>73</v>
      </c>
      <c r="F1836" s="765"/>
      <c r="G1836" s="765"/>
      <c r="I1836" s="172"/>
      <c r="J1836" s="768">
        <f>$F$70</f>
        <v>0.14450383244078713</v>
      </c>
      <c r="K1836" s="769"/>
      <c r="L1836" s="313" t="str">
        <f>"          INPUT TRUE-UP ARR (WITH &amp; WITHOUT INCENTIVES) FROM EACH PRIOR YEAR"</f>
        <v xml:space="preserve">          INPUT TRUE-UP ARR (WITH &amp; WITHOUT INCENTIVES) FROM EACH PRIOR YEAR</v>
      </c>
      <c r="P1836" s="426"/>
    </row>
    <row r="1837" spans="2:16">
      <c r="C1837" s="764" t="s">
        <v>74</v>
      </c>
      <c r="D1837" s="770">
        <f>H$79</f>
        <v>35</v>
      </c>
      <c r="E1837" s="764" t="s">
        <v>75</v>
      </c>
      <c r="F1837" s="765"/>
      <c r="G1837" s="765"/>
      <c r="I1837" s="172"/>
      <c r="J1837" s="768">
        <f>IF(H1828="",+J1836,$F$69)</f>
        <v>0.14450383244078713</v>
      </c>
      <c r="K1837" s="771"/>
      <c r="L1837" s="313" t="s">
        <v>157</v>
      </c>
      <c r="M1837" s="771"/>
      <c r="N1837" s="771"/>
      <c r="O1837" s="771"/>
      <c r="P1837" s="426"/>
    </row>
    <row r="1838" spans="2:16" ht="13.5" thickBot="1">
      <c r="C1838" s="764" t="s">
        <v>76</v>
      </c>
      <c r="D1838" s="807" t="s">
        <v>808</v>
      </c>
      <c r="E1838" s="772" t="s">
        <v>77</v>
      </c>
      <c r="F1838" s="773"/>
      <c r="G1838" s="773"/>
      <c r="H1838" s="774"/>
      <c r="I1838" s="774"/>
      <c r="J1838" s="752">
        <f>IF(D1834=0,0,D1834/D1837)</f>
        <v>75653.726857142858</v>
      </c>
      <c r="K1838" s="730"/>
      <c r="L1838" s="730" t="s">
        <v>158</v>
      </c>
      <c r="M1838" s="730"/>
      <c r="N1838" s="730"/>
      <c r="O1838" s="730"/>
      <c r="P1838" s="426"/>
    </row>
    <row r="1839" spans="2:16" ht="38.25">
      <c r="B1839" s="845"/>
      <c r="C1839" s="775" t="s">
        <v>67</v>
      </c>
      <c r="D1839" s="776" t="s">
        <v>78</v>
      </c>
      <c r="E1839" s="777" t="s">
        <v>79</v>
      </c>
      <c r="F1839" s="776" t="s">
        <v>80</v>
      </c>
      <c r="G1839" s="776" t="s">
        <v>238</v>
      </c>
      <c r="H1839" s="777" t="s">
        <v>151</v>
      </c>
      <c r="I1839" s="778" t="s">
        <v>151</v>
      </c>
      <c r="J1839" s="775" t="s">
        <v>90</v>
      </c>
      <c r="K1839" s="779"/>
      <c r="L1839" s="777" t="s">
        <v>153</v>
      </c>
      <c r="M1839" s="777" t="s">
        <v>159</v>
      </c>
      <c r="N1839" s="777" t="s">
        <v>153</v>
      </c>
      <c r="O1839" s="777" t="s">
        <v>161</v>
      </c>
      <c r="P1839" s="777" t="s">
        <v>81</v>
      </c>
    </row>
    <row r="1840" spans="2:16" ht="13.5" thickBot="1">
      <c r="C1840" s="781" t="s">
        <v>469</v>
      </c>
      <c r="D1840" s="782" t="s">
        <v>470</v>
      </c>
      <c r="E1840" s="781" t="s">
        <v>363</v>
      </c>
      <c r="F1840" s="782" t="s">
        <v>470</v>
      </c>
      <c r="G1840" s="782" t="s">
        <v>470</v>
      </c>
      <c r="H1840" s="783" t="s">
        <v>93</v>
      </c>
      <c r="I1840" s="784" t="s">
        <v>95</v>
      </c>
      <c r="J1840" s="785" t="s">
        <v>15</v>
      </c>
      <c r="K1840" s="786"/>
      <c r="L1840" s="783" t="s">
        <v>82</v>
      </c>
      <c r="M1840" s="783" t="s">
        <v>82</v>
      </c>
      <c r="N1840" s="783" t="s">
        <v>255</v>
      </c>
      <c r="O1840" s="783" t="s">
        <v>255</v>
      </c>
      <c r="P1840" s="783" t="s">
        <v>255</v>
      </c>
    </row>
    <row r="1841" spans="3:16">
      <c r="C1841" s="788">
        <f>IF(D1835= "","-",D1835)</f>
        <v>2017</v>
      </c>
      <c r="D1841" s="736">
        <f>+D1834</f>
        <v>2647880.44</v>
      </c>
      <c r="E1841" s="794">
        <f>+J1838/12*(12-D1836)</f>
        <v>0</v>
      </c>
      <c r="F1841" s="843">
        <f t="shared" ref="F1841:F1900" si="165">+D1841-E1841</f>
        <v>2647880.44</v>
      </c>
      <c r="G1841" s="736">
        <f>+(D1841+F1841)/2</f>
        <v>2647880.44</v>
      </c>
      <c r="H1841" s="790">
        <f>+J1836*G1841+E1841</f>
        <v>382628.87142499769</v>
      </c>
      <c r="I1841" s="791">
        <f>+J1837*G1841+E1841</f>
        <v>382628.87142499769</v>
      </c>
      <c r="J1841" s="792">
        <f>+I1841-H1841</f>
        <v>0</v>
      </c>
      <c r="K1841" s="792"/>
      <c r="L1841" s="811">
        <v>525167</v>
      </c>
      <c r="M1841" s="844">
        <f t="shared" ref="M1841:M1900" si="166">IF(L1841&lt;&gt;0,+H1841-L1841,0)</f>
        <v>-142538.12857500231</v>
      </c>
      <c r="N1841" s="811">
        <v>525167</v>
      </c>
      <c r="O1841" s="844">
        <f t="shared" ref="O1841:O1900" si="167">IF(N1841&lt;&gt;0,+I1841-N1841,0)</f>
        <v>-142538.12857500231</v>
      </c>
      <c r="P1841" s="844">
        <f t="shared" ref="P1841:P1900" si="168">+O1841-M1841</f>
        <v>0</v>
      </c>
    </row>
    <row r="1842" spans="3:16">
      <c r="C1842" s="788">
        <f>IF(D1835="","-",+C1841+1)</f>
        <v>2018</v>
      </c>
      <c r="D1842" s="1402">
        <f t="shared" ref="D1842:D1900" si="169">F1841</f>
        <v>2647880.44</v>
      </c>
      <c r="E1842" s="789">
        <f>IF(D1842&gt;$J$1838,$J$1838,D1842)</f>
        <v>75653.726857142858</v>
      </c>
      <c r="F1842" s="789">
        <f t="shared" si="165"/>
        <v>2572226.713142857</v>
      </c>
      <c r="G1842" s="736">
        <f t="shared" ref="G1842:G1900" si="170">+(D1842+F1842)/2</f>
        <v>2610053.5765714282</v>
      </c>
      <c r="H1842" s="794">
        <f>+J1836*G1842+E1842</f>
        <v>452816.47154749767</v>
      </c>
      <c r="I1842" s="795">
        <f>+J1837*G1842+E1842</f>
        <v>452816.47154749767</v>
      </c>
      <c r="J1842" s="792">
        <f>+I1842-H1842</f>
        <v>0</v>
      </c>
      <c r="K1842" s="792"/>
      <c r="L1842" s="812">
        <v>400069</v>
      </c>
      <c r="M1842" s="792">
        <f t="shared" si="166"/>
        <v>52747.471547497669</v>
      </c>
      <c r="N1842" s="812">
        <v>400069</v>
      </c>
      <c r="O1842" s="792">
        <f t="shared" si="167"/>
        <v>52747.471547497669</v>
      </c>
      <c r="P1842" s="792">
        <f t="shared" si="168"/>
        <v>0</v>
      </c>
    </row>
    <row r="1843" spans="3:16">
      <c r="C1843" s="788">
        <f>IF(D1835="","-",+C1842+1)</f>
        <v>2019</v>
      </c>
      <c r="D1843" s="736">
        <f t="shared" si="169"/>
        <v>2572226.713142857</v>
      </c>
      <c r="E1843" s="789">
        <f t="shared" ref="E1843:E1898" si="171">IF(D1843&gt;$J$1838,$J$1838,D1843)</f>
        <v>75653.726857142858</v>
      </c>
      <c r="F1843" s="789">
        <f t="shared" si="165"/>
        <v>2496572.986285714</v>
      </c>
      <c r="G1843" s="736">
        <f t="shared" si="170"/>
        <v>2534399.8497142857</v>
      </c>
      <c r="H1843" s="794">
        <f>+J1836*G1843+E1843</f>
        <v>441884.21807821211</v>
      </c>
      <c r="I1843" s="795">
        <f>+J1837*G1843+E1843</f>
        <v>441884.21807821211</v>
      </c>
      <c r="J1843" s="792">
        <f t="shared" ref="J1843:J1900" si="172">+I1843-H1843</f>
        <v>0</v>
      </c>
      <c r="K1843" s="792"/>
      <c r="L1843" s="812">
        <v>448563.12957359222</v>
      </c>
      <c r="M1843" s="792">
        <f t="shared" si="166"/>
        <v>-6678.9114953801036</v>
      </c>
      <c r="N1843" s="812">
        <v>448563.12957359222</v>
      </c>
      <c r="O1843" s="792">
        <f t="shared" si="167"/>
        <v>-6678.9114953801036</v>
      </c>
      <c r="P1843" s="792">
        <f t="shared" si="168"/>
        <v>0</v>
      </c>
    </row>
    <row r="1844" spans="3:16">
      <c r="C1844" s="788">
        <f>IF(D1835="","-",+C1843+1)</f>
        <v>2020</v>
      </c>
      <c r="D1844" s="1321">
        <f t="shared" si="169"/>
        <v>2496572.986285714</v>
      </c>
      <c r="E1844" s="789">
        <f t="shared" si="171"/>
        <v>75653.726857142858</v>
      </c>
      <c r="F1844" s="789">
        <f t="shared" si="165"/>
        <v>2420919.259428571</v>
      </c>
      <c r="G1844" s="736">
        <f t="shared" si="170"/>
        <v>2458746.1228571422</v>
      </c>
      <c r="H1844" s="794">
        <f>+J1836*G1844+E1844</f>
        <v>430951.96460892638</v>
      </c>
      <c r="I1844" s="795">
        <f>+J1837*G1844+E1844</f>
        <v>430951.96460892638</v>
      </c>
      <c r="J1844" s="792">
        <f t="shared" si="172"/>
        <v>0</v>
      </c>
      <c r="K1844" s="792"/>
      <c r="L1844" s="812">
        <v>464920.14058627747</v>
      </c>
      <c r="M1844" s="792">
        <f t="shared" si="166"/>
        <v>-33968.175977351086</v>
      </c>
      <c r="N1844" s="812">
        <v>464920.14058627747</v>
      </c>
      <c r="O1844" s="792">
        <f t="shared" si="167"/>
        <v>-33968.175977351086</v>
      </c>
      <c r="P1844" s="792">
        <f t="shared" si="168"/>
        <v>0</v>
      </c>
    </row>
    <row r="1845" spans="3:16">
      <c r="C1845" s="788">
        <f>IF(D1835="","-",+C1844+1)</f>
        <v>2021</v>
      </c>
      <c r="D1845" s="1321">
        <f t="shared" si="169"/>
        <v>2420919.259428571</v>
      </c>
      <c r="E1845" s="789">
        <f t="shared" si="171"/>
        <v>75653.726857142858</v>
      </c>
      <c r="F1845" s="789">
        <f t="shared" si="165"/>
        <v>2345265.532571428</v>
      </c>
      <c r="G1845" s="736">
        <f t="shared" si="170"/>
        <v>2383092.3959999997</v>
      </c>
      <c r="H1845" s="794">
        <f>+J1836*G1845+E1845</f>
        <v>420019.71113964077</v>
      </c>
      <c r="I1845" s="795">
        <f>+J1837*G1845+E1845</f>
        <v>420019.71113964077</v>
      </c>
      <c r="J1845" s="792">
        <f t="shared" si="172"/>
        <v>0</v>
      </c>
      <c r="K1845" s="792"/>
      <c r="L1845" s="812">
        <v>423736.00959125964</v>
      </c>
      <c r="M1845" s="792">
        <f t="shared" si="166"/>
        <v>-3716.2984516188735</v>
      </c>
      <c r="N1845" s="812">
        <v>423736.00959125964</v>
      </c>
      <c r="O1845" s="792">
        <f t="shared" si="167"/>
        <v>-3716.2984516188735</v>
      </c>
      <c r="P1845" s="792">
        <f t="shared" si="168"/>
        <v>0</v>
      </c>
    </row>
    <row r="1846" spans="3:16">
      <c r="C1846" s="788">
        <f>IF(D1835="","-",+C1845+1)</f>
        <v>2022</v>
      </c>
      <c r="D1846" s="1321">
        <f t="shared" si="169"/>
        <v>2345265.532571428</v>
      </c>
      <c r="E1846" s="789">
        <f t="shared" si="171"/>
        <v>75653.726857142858</v>
      </c>
      <c r="F1846" s="789">
        <f t="shared" si="165"/>
        <v>2269611.805714285</v>
      </c>
      <c r="G1846" s="736">
        <f t="shared" si="170"/>
        <v>2307438.6691428563</v>
      </c>
      <c r="H1846" s="794">
        <f>+J1836*G1846+E1846</f>
        <v>409087.45767035504</v>
      </c>
      <c r="I1846" s="795">
        <f>+J1837*G1846+E1846</f>
        <v>409087.45767035504</v>
      </c>
      <c r="J1846" s="792">
        <f t="shared" si="172"/>
        <v>0</v>
      </c>
      <c r="K1846" s="792"/>
      <c r="L1846" s="812">
        <v>424997.92376027984</v>
      </c>
      <c r="M1846" s="792">
        <f t="shared" si="166"/>
        <v>-15910.466089924797</v>
      </c>
      <c r="N1846" s="812">
        <v>424997.92376027984</v>
      </c>
      <c r="O1846" s="792">
        <f t="shared" si="167"/>
        <v>-15910.466089924797</v>
      </c>
      <c r="P1846" s="792">
        <f t="shared" si="168"/>
        <v>0</v>
      </c>
    </row>
    <row r="1847" spans="3:16">
      <c r="C1847" s="788">
        <f>IF(D1835="","-",+C1846+1)</f>
        <v>2023</v>
      </c>
      <c r="D1847" s="1321">
        <f t="shared" si="169"/>
        <v>2269611.805714285</v>
      </c>
      <c r="E1847" s="789">
        <f t="shared" si="171"/>
        <v>75653.726857142858</v>
      </c>
      <c r="F1847" s="789">
        <f t="shared" si="165"/>
        <v>2193958.078857142</v>
      </c>
      <c r="G1847" s="736">
        <f t="shared" si="170"/>
        <v>2231784.9422857137</v>
      </c>
      <c r="H1847" s="794">
        <f>+J1836*G1847+E1847</f>
        <v>398155.20420106943</v>
      </c>
      <c r="I1847" s="795">
        <f>+J1837*G1847+E1847</f>
        <v>398155.20420106943</v>
      </c>
      <c r="J1847" s="792">
        <f t="shared" si="172"/>
        <v>0</v>
      </c>
      <c r="K1847" s="792"/>
      <c r="L1847" s="812">
        <v>416161.16029641713</v>
      </c>
      <c r="M1847" s="792">
        <f t="shared" si="166"/>
        <v>-18005.956095347705</v>
      </c>
      <c r="N1847" s="812">
        <v>416161.16029641713</v>
      </c>
      <c r="O1847" s="792">
        <f t="shared" si="167"/>
        <v>-18005.956095347705</v>
      </c>
      <c r="P1847" s="792">
        <f t="shared" si="168"/>
        <v>0</v>
      </c>
    </row>
    <row r="1848" spans="3:16">
      <c r="C1848" s="788">
        <f>IF(D1835="","-",+C1847+1)</f>
        <v>2024</v>
      </c>
      <c r="D1848" s="1321">
        <f t="shared" si="169"/>
        <v>2193958.078857142</v>
      </c>
      <c r="E1848" s="789">
        <f t="shared" si="171"/>
        <v>75653.726857142858</v>
      </c>
      <c r="F1848" s="789">
        <f t="shared" si="165"/>
        <v>2118304.351999999</v>
      </c>
      <c r="G1848" s="736">
        <f t="shared" si="170"/>
        <v>2156131.2154285703</v>
      </c>
      <c r="H1848" s="794">
        <f>+J1836*G1848+E1848</f>
        <v>387222.9507317837</v>
      </c>
      <c r="I1848" s="795">
        <f>+J1837*G1848+E1848</f>
        <v>387222.9507317837</v>
      </c>
      <c r="J1848" s="792">
        <f t="shared" si="172"/>
        <v>0</v>
      </c>
      <c r="K1848" s="792"/>
      <c r="L1848" s="812"/>
      <c r="M1848" s="792">
        <f t="shared" si="166"/>
        <v>0</v>
      </c>
      <c r="N1848" s="812"/>
      <c r="O1848" s="792">
        <f t="shared" si="167"/>
        <v>0</v>
      </c>
      <c r="P1848" s="792">
        <f t="shared" si="168"/>
        <v>0</v>
      </c>
    </row>
    <row r="1849" spans="3:16">
      <c r="C1849" s="788">
        <f>IF(D1835="","-",+C1848+1)</f>
        <v>2025</v>
      </c>
      <c r="D1849" s="736">
        <f t="shared" si="169"/>
        <v>2118304.351999999</v>
      </c>
      <c r="E1849" s="789">
        <f t="shared" si="171"/>
        <v>75653.726857142858</v>
      </c>
      <c r="F1849" s="789">
        <f t="shared" si="165"/>
        <v>2042650.6251428563</v>
      </c>
      <c r="G1849" s="736">
        <f t="shared" si="170"/>
        <v>2080477.4885714278</v>
      </c>
      <c r="H1849" s="794">
        <f>+J1836*G1849+E1849</f>
        <v>376290.69726249808</v>
      </c>
      <c r="I1849" s="795">
        <f>+J1837*G1849+E1849</f>
        <v>376290.69726249808</v>
      </c>
      <c r="J1849" s="792">
        <f t="shared" si="172"/>
        <v>0</v>
      </c>
      <c r="K1849" s="792"/>
      <c r="L1849" s="812"/>
      <c r="M1849" s="792">
        <f t="shared" si="166"/>
        <v>0</v>
      </c>
      <c r="N1849" s="812"/>
      <c r="O1849" s="792">
        <f t="shared" si="167"/>
        <v>0</v>
      </c>
      <c r="P1849" s="792">
        <f t="shared" si="168"/>
        <v>0</v>
      </c>
    </row>
    <row r="1850" spans="3:16">
      <c r="C1850" s="788">
        <f>IF(D1835="","-",+C1849+1)</f>
        <v>2026</v>
      </c>
      <c r="D1850" s="736">
        <f t="shared" si="169"/>
        <v>2042650.6251428563</v>
      </c>
      <c r="E1850" s="789">
        <f t="shared" si="171"/>
        <v>75653.726857142858</v>
      </c>
      <c r="F1850" s="789">
        <f t="shared" si="165"/>
        <v>1966996.8982857135</v>
      </c>
      <c r="G1850" s="736">
        <f t="shared" si="170"/>
        <v>2004823.7617142848</v>
      </c>
      <c r="H1850" s="794">
        <f>+J1836*G1850+E1850</f>
        <v>365358.44379321241</v>
      </c>
      <c r="I1850" s="795">
        <f>+J1837*G1850+E1850</f>
        <v>365358.44379321241</v>
      </c>
      <c r="J1850" s="792">
        <f t="shared" si="172"/>
        <v>0</v>
      </c>
      <c r="K1850" s="792"/>
      <c r="L1850" s="812"/>
      <c r="M1850" s="792">
        <f t="shared" si="166"/>
        <v>0</v>
      </c>
      <c r="N1850" s="812"/>
      <c r="O1850" s="792">
        <f t="shared" si="167"/>
        <v>0</v>
      </c>
      <c r="P1850" s="792">
        <f t="shared" si="168"/>
        <v>0</v>
      </c>
    </row>
    <row r="1851" spans="3:16">
      <c r="C1851" s="788">
        <f>IF(D1835="","-",+C1850+1)</f>
        <v>2027</v>
      </c>
      <c r="D1851" s="736">
        <f t="shared" si="169"/>
        <v>1966996.8982857135</v>
      </c>
      <c r="E1851" s="789">
        <f t="shared" si="171"/>
        <v>75653.726857142858</v>
      </c>
      <c r="F1851" s="789">
        <f t="shared" si="165"/>
        <v>1891343.1714285708</v>
      </c>
      <c r="G1851" s="736">
        <f t="shared" si="170"/>
        <v>1929170.0348571423</v>
      </c>
      <c r="H1851" s="794">
        <f>+J1836*G1851+E1851</f>
        <v>354426.1903239268</v>
      </c>
      <c r="I1851" s="795">
        <f>+J1837*G1851+E1851</f>
        <v>354426.1903239268</v>
      </c>
      <c r="J1851" s="792">
        <f t="shared" si="172"/>
        <v>0</v>
      </c>
      <c r="K1851" s="792"/>
      <c r="L1851" s="812"/>
      <c r="M1851" s="792">
        <f t="shared" si="166"/>
        <v>0</v>
      </c>
      <c r="N1851" s="812"/>
      <c r="O1851" s="792">
        <f t="shared" si="167"/>
        <v>0</v>
      </c>
      <c r="P1851" s="792">
        <f t="shared" si="168"/>
        <v>0</v>
      </c>
    </row>
    <row r="1852" spans="3:16">
      <c r="C1852" s="788">
        <f>IF(D1835="","-",+C1851+1)</f>
        <v>2028</v>
      </c>
      <c r="D1852" s="736">
        <f t="shared" si="169"/>
        <v>1891343.1714285708</v>
      </c>
      <c r="E1852" s="789">
        <f t="shared" si="171"/>
        <v>75653.726857142858</v>
      </c>
      <c r="F1852" s="789">
        <f t="shared" si="165"/>
        <v>1815689.444571428</v>
      </c>
      <c r="G1852" s="736">
        <f t="shared" si="170"/>
        <v>1853516.3079999993</v>
      </c>
      <c r="H1852" s="794">
        <f>+J1836*G1852+E1852</f>
        <v>343493.93685464113</v>
      </c>
      <c r="I1852" s="795">
        <f>+J1837*G1852+E1852</f>
        <v>343493.93685464113</v>
      </c>
      <c r="J1852" s="792">
        <f t="shared" si="172"/>
        <v>0</v>
      </c>
      <c r="K1852" s="792"/>
      <c r="L1852" s="812"/>
      <c r="M1852" s="792">
        <f t="shared" si="166"/>
        <v>0</v>
      </c>
      <c r="N1852" s="812"/>
      <c r="O1852" s="792">
        <f t="shared" si="167"/>
        <v>0</v>
      </c>
      <c r="P1852" s="792">
        <f t="shared" si="168"/>
        <v>0</v>
      </c>
    </row>
    <row r="1853" spans="3:16">
      <c r="C1853" s="788">
        <f>IF(D1835="","-",+C1852+1)</f>
        <v>2029</v>
      </c>
      <c r="D1853" s="736">
        <f t="shared" si="169"/>
        <v>1815689.444571428</v>
      </c>
      <c r="E1853" s="789">
        <f t="shared" si="171"/>
        <v>75653.726857142858</v>
      </c>
      <c r="F1853" s="789">
        <f t="shared" si="165"/>
        <v>1740035.7177142852</v>
      </c>
      <c r="G1853" s="736">
        <f t="shared" si="170"/>
        <v>1777862.5811428567</v>
      </c>
      <c r="H1853" s="794">
        <f>+J1836*G1853+E1853</f>
        <v>332561.68338535551</v>
      </c>
      <c r="I1853" s="795">
        <f>+J1837*G1853+E1853</f>
        <v>332561.68338535551</v>
      </c>
      <c r="J1853" s="792">
        <f t="shared" si="172"/>
        <v>0</v>
      </c>
      <c r="K1853" s="792"/>
      <c r="L1853" s="812"/>
      <c r="M1853" s="792">
        <f t="shared" si="166"/>
        <v>0</v>
      </c>
      <c r="N1853" s="812"/>
      <c r="O1853" s="792">
        <f t="shared" si="167"/>
        <v>0</v>
      </c>
      <c r="P1853" s="792">
        <f t="shared" si="168"/>
        <v>0</v>
      </c>
    </row>
    <row r="1854" spans="3:16">
      <c r="C1854" s="788">
        <f>IF(D1835="","-",+C1853+1)</f>
        <v>2030</v>
      </c>
      <c r="D1854" s="736">
        <f t="shared" si="169"/>
        <v>1740035.7177142852</v>
      </c>
      <c r="E1854" s="789">
        <f t="shared" si="171"/>
        <v>75653.726857142858</v>
      </c>
      <c r="F1854" s="789">
        <f t="shared" si="165"/>
        <v>1664381.9908571425</v>
      </c>
      <c r="G1854" s="736">
        <f t="shared" si="170"/>
        <v>1702208.8542857138</v>
      </c>
      <c r="H1854" s="794">
        <f>+J1836*G1854+E1854</f>
        <v>321629.42991606984</v>
      </c>
      <c r="I1854" s="795">
        <f>+J1837*G1854+E1854</f>
        <v>321629.42991606984</v>
      </c>
      <c r="J1854" s="792">
        <f t="shared" si="172"/>
        <v>0</v>
      </c>
      <c r="K1854" s="792"/>
      <c r="L1854" s="812"/>
      <c r="M1854" s="792">
        <f t="shared" si="166"/>
        <v>0</v>
      </c>
      <c r="N1854" s="812"/>
      <c r="O1854" s="792">
        <f t="shared" si="167"/>
        <v>0</v>
      </c>
      <c r="P1854" s="792">
        <f t="shared" si="168"/>
        <v>0</v>
      </c>
    </row>
    <row r="1855" spans="3:16">
      <c r="C1855" s="788">
        <f>IF(D1835="","-",+C1854+1)</f>
        <v>2031</v>
      </c>
      <c r="D1855" s="736">
        <f t="shared" si="169"/>
        <v>1664381.9908571425</v>
      </c>
      <c r="E1855" s="789">
        <f t="shared" si="171"/>
        <v>75653.726857142858</v>
      </c>
      <c r="F1855" s="789">
        <f t="shared" si="165"/>
        <v>1588728.2639999997</v>
      </c>
      <c r="G1855" s="736">
        <f t="shared" si="170"/>
        <v>1626555.1274285712</v>
      </c>
      <c r="H1855" s="794">
        <f>+J1836*G1855+E1855</f>
        <v>310697.17644678429</v>
      </c>
      <c r="I1855" s="795">
        <f>+J1837*G1855+E1855</f>
        <v>310697.17644678429</v>
      </c>
      <c r="J1855" s="792">
        <f t="shared" si="172"/>
        <v>0</v>
      </c>
      <c r="K1855" s="792"/>
      <c r="L1855" s="812"/>
      <c r="M1855" s="792">
        <f t="shared" si="166"/>
        <v>0</v>
      </c>
      <c r="N1855" s="812"/>
      <c r="O1855" s="792">
        <f t="shared" si="167"/>
        <v>0</v>
      </c>
      <c r="P1855" s="792">
        <f t="shared" si="168"/>
        <v>0</v>
      </c>
    </row>
    <row r="1856" spans="3:16">
      <c r="C1856" s="788">
        <f>IF(D1835="","-",+C1855+1)</f>
        <v>2032</v>
      </c>
      <c r="D1856" s="736">
        <f t="shared" si="169"/>
        <v>1588728.2639999997</v>
      </c>
      <c r="E1856" s="789">
        <f t="shared" si="171"/>
        <v>75653.726857142858</v>
      </c>
      <c r="F1856" s="789">
        <f t="shared" si="165"/>
        <v>1513074.537142857</v>
      </c>
      <c r="G1856" s="736">
        <f t="shared" si="170"/>
        <v>1550901.4005714282</v>
      </c>
      <c r="H1856" s="794">
        <f>+J1836*G1856+E1856</f>
        <v>299764.92297749862</v>
      </c>
      <c r="I1856" s="795">
        <f>+J1837*G1856+E1856</f>
        <v>299764.92297749862</v>
      </c>
      <c r="J1856" s="792">
        <f t="shared" si="172"/>
        <v>0</v>
      </c>
      <c r="K1856" s="792"/>
      <c r="L1856" s="812"/>
      <c r="M1856" s="792">
        <f t="shared" si="166"/>
        <v>0</v>
      </c>
      <c r="N1856" s="812"/>
      <c r="O1856" s="792">
        <f t="shared" si="167"/>
        <v>0</v>
      </c>
      <c r="P1856" s="792">
        <f t="shared" si="168"/>
        <v>0</v>
      </c>
    </row>
    <row r="1857" spans="3:16">
      <c r="C1857" s="788">
        <f>IF(D1835="","-",+C1856+1)</f>
        <v>2033</v>
      </c>
      <c r="D1857" s="736">
        <f t="shared" si="169"/>
        <v>1513074.537142857</v>
      </c>
      <c r="E1857" s="789">
        <f t="shared" si="171"/>
        <v>75653.726857142858</v>
      </c>
      <c r="F1857" s="789">
        <f t="shared" si="165"/>
        <v>1437420.8102857142</v>
      </c>
      <c r="G1857" s="736">
        <f t="shared" si="170"/>
        <v>1475247.6737142857</v>
      </c>
      <c r="H1857" s="794">
        <f>+J1836*G1857+E1857</f>
        <v>288832.669508213</v>
      </c>
      <c r="I1857" s="795">
        <f>+J1837*G1857+E1857</f>
        <v>288832.669508213</v>
      </c>
      <c r="J1857" s="792">
        <f t="shared" si="172"/>
        <v>0</v>
      </c>
      <c r="K1857" s="792"/>
      <c r="L1857" s="812"/>
      <c r="M1857" s="792">
        <f t="shared" si="166"/>
        <v>0</v>
      </c>
      <c r="N1857" s="812"/>
      <c r="O1857" s="792">
        <f t="shared" si="167"/>
        <v>0</v>
      </c>
      <c r="P1857" s="792">
        <f t="shared" si="168"/>
        <v>0</v>
      </c>
    </row>
    <row r="1858" spans="3:16">
      <c r="C1858" s="788">
        <f>IF(D1835="","-",+C1857+1)</f>
        <v>2034</v>
      </c>
      <c r="D1858" s="736">
        <f t="shared" si="169"/>
        <v>1437420.8102857142</v>
      </c>
      <c r="E1858" s="789">
        <f t="shared" si="171"/>
        <v>75653.726857142858</v>
      </c>
      <c r="F1858" s="789">
        <f t="shared" si="165"/>
        <v>1361767.0834285715</v>
      </c>
      <c r="G1858" s="736">
        <f t="shared" si="170"/>
        <v>1399593.9468571427</v>
      </c>
      <c r="H1858" s="794">
        <f>+J1836*G1858+E1858</f>
        <v>277900.41603892733</v>
      </c>
      <c r="I1858" s="795">
        <f>+J1837*G1858+E1858</f>
        <v>277900.41603892733</v>
      </c>
      <c r="J1858" s="792">
        <f t="shared" si="172"/>
        <v>0</v>
      </c>
      <c r="K1858" s="792"/>
      <c r="L1858" s="812"/>
      <c r="M1858" s="792">
        <f t="shared" si="166"/>
        <v>0</v>
      </c>
      <c r="N1858" s="812"/>
      <c r="O1858" s="792">
        <f t="shared" si="167"/>
        <v>0</v>
      </c>
      <c r="P1858" s="792">
        <f t="shared" si="168"/>
        <v>0</v>
      </c>
    </row>
    <row r="1859" spans="3:16">
      <c r="C1859" s="788">
        <f>IF(D1835="","-",+C1858+1)</f>
        <v>2035</v>
      </c>
      <c r="D1859" s="736">
        <f t="shared" si="169"/>
        <v>1361767.0834285715</v>
      </c>
      <c r="E1859" s="789">
        <f t="shared" si="171"/>
        <v>75653.726857142858</v>
      </c>
      <c r="F1859" s="789">
        <f t="shared" si="165"/>
        <v>1286113.3565714287</v>
      </c>
      <c r="G1859" s="736">
        <f t="shared" si="170"/>
        <v>1323940.2200000002</v>
      </c>
      <c r="H1859" s="794">
        <f>+J1836*G1859+E1859</f>
        <v>266968.16256964172</v>
      </c>
      <c r="I1859" s="795">
        <f>+J1837*G1859+E1859</f>
        <v>266968.16256964172</v>
      </c>
      <c r="J1859" s="792">
        <f t="shared" si="172"/>
        <v>0</v>
      </c>
      <c r="K1859" s="792"/>
      <c r="L1859" s="812"/>
      <c r="M1859" s="792">
        <f t="shared" si="166"/>
        <v>0</v>
      </c>
      <c r="N1859" s="812"/>
      <c r="O1859" s="792">
        <f t="shared" si="167"/>
        <v>0</v>
      </c>
      <c r="P1859" s="792">
        <f t="shared" si="168"/>
        <v>0</v>
      </c>
    </row>
    <row r="1860" spans="3:16">
      <c r="C1860" s="788">
        <f>IF(D1835="","-",+C1859+1)</f>
        <v>2036</v>
      </c>
      <c r="D1860" s="736">
        <f t="shared" si="169"/>
        <v>1286113.3565714287</v>
      </c>
      <c r="E1860" s="789">
        <f t="shared" si="171"/>
        <v>75653.726857142858</v>
      </c>
      <c r="F1860" s="789">
        <f t="shared" si="165"/>
        <v>1210459.629714286</v>
      </c>
      <c r="G1860" s="736">
        <f t="shared" si="170"/>
        <v>1248286.4931428572</v>
      </c>
      <c r="H1860" s="794">
        <f>+J1836*G1860+E1860</f>
        <v>256035.90910035605</v>
      </c>
      <c r="I1860" s="795">
        <f>+J1837*G1860+E1860</f>
        <v>256035.90910035605</v>
      </c>
      <c r="J1860" s="792">
        <f t="shared" si="172"/>
        <v>0</v>
      </c>
      <c r="K1860" s="792"/>
      <c r="L1860" s="812"/>
      <c r="M1860" s="792">
        <f t="shared" si="166"/>
        <v>0</v>
      </c>
      <c r="N1860" s="812"/>
      <c r="O1860" s="792">
        <f t="shared" si="167"/>
        <v>0</v>
      </c>
      <c r="P1860" s="792">
        <f t="shared" si="168"/>
        <v>0</v>
      </c>
    </row>
    <row r="1861" spans="3:16">
      <c r="C1861" s="788">
        <f>IF(D1835="","-",+C1860+1)</f>
        <v>2037</v>
      </c>
      <c r="D1861" s="736">
        <f t="shared" si="169"/>
        <v>1210459.629714286</v>
      </c>
      <c r="E1861" s="789">
        <f t="shared" si="171"/>
        <v>75653.726857142858</v>
      </c>
      <c r="F1861" s="789">
        <f t="shared" si="165"/>
        <v>1134805.9028571432</v>
      </c>
      <c r="G1861" s="736">
        <f t="shared" si="170"/>
        <v>1172632.7662857147</v>
      </c>
      <c r="H1861" s="794">
        <f>+J1836*G1861+E1861</f>
        <v>245103.65563107049</v>
      </c>
      <c r="I1861" s="795">
        <f>+J1837*G1861+E1861</f>
        <v>245103.65563107049</v>
      </c>
      <c r="J1861" s="792">
        <f t="shared" si="172"/>
        <v>0</v>
      </c>
      <c r="K1861" s="792"/>
      <c r="L1861" s="812"/>
      <c r="M1861" s="792">
        <f t="shared" si="166"/>
        <v>0</v>
      </c>
      <c r="N1861" s="812"/>
      <c r="O1861" s="792">
        <f t="shared" si="167"/>
        <v>0</v>
      </c>
      <c r="P1861" s="792">
        <f t="shared" si="168"/>
        <v>0</v>
      </c>
    </row>
    <row r="1862" spans="3:16">
      <c r="C1862" s="788">
        <f>IF(D1835="","-",+C1861+1)</f>
        <v>2038</v>
      </c>
      <c r="D1862" s="736">
        <f t="shared" si="169"/>
        <v>1134805.9028571432</v>
      </c>
      <c r="E1862" s="789">
        <f t="shared" si="171"/>
        <v>75653.726857142858</v>
      </c>
      <c r="F1862" s="789">
        <f t="shared" si="165"/>
        <v>1059152.1760000004</v>
      </c>
      <c r="G1862" s="736">
        <f t="shared" si="170"/>
        <v>1096979.0394285717</v>
      </c>
      <c r="H1862" s="794">
        <f>+J1836*G1862+E1862</f>
        <v>234171.40216178482</v>
      </c>
      <c r="I1862" s="795">
        <f>+J1837*G1862+E1862</f>
        <v>234171.40216178482</v>
      </c>
      <c r="J1862" s="792">
        <f t="shared" si="172"/>
        <v>0</v>
      </c>
      <c r="K1862" s="792"/>
      <c r="L1862" s="812"/>
      <c r="M1862" s="792">
        <f t="shared" si="166"/>
        <v>0</v>
      </c>
      <c r="N1862" s="812"/>
      <c r="O1862" s="792">
        <f t="shared" si="167"/>
        <v>0</v>
      </c>
      <c r="P1862" s="792">
        <f t="shared" si="168"/>
        <v>0</v>
      </c>
    </row>
    <row r="1863" spans="3:16">
      <c r="C1863" s="788">
        <f>IF(D1835="","-",+C1862+1)</f>
        <v>2039</v>
      </c>
      <c r="D1863" s="736">
        <f t="shared" si="169"/>
        <v>1059152.1760000004</v>
      </c>
      <c r="E1863" s="789">
        <f t="shared" si="171"/>
        <v>75653.726857142858</v>
      </c>
      <c r="F1863" s="789">
        <f t="shared" si="165"/>
        <v>983498.44914285757</v>
      </c>
      <c r="G1863" s="736">
        <f t="shared" si="170"/>
        <v>1021325.3125714289</v>
      </c>
      <c r="H1863" s="794">
        <f>+J1836*G1863+E1863</f>
        <v>223239.14869249915</v>
      </c>
      <c r="I1863" s="795">
        <f>+J1837*G1863+E1863</f>
        <v>223239.14869249915</v>
      </c>
      <c r="J1863" s="792">
        <f t="shared" si="172"/>
        <v>0</v>
      </c>
      <c r="K1863" s="792"/>
      <c r="L1863" s="812"/>
      <c r="M1863" s="792">
        <f t="shared" si="166"/>
        <v>0</v>
      </c>
      <c r="N1863" s="812"/>
      <c r="O1863" s="792">
        <f t="shared" si="167"/>
        <v>0</v>
      </c>
      <c r="P1863" s="792">
        <f t="shared" si="168"/>
        <v>0</v>
      </c>
    </row>
    <row r="1864" spans="3:16">
      <c r="C1864" s="788">
        <f>IF(D1835="","-",+C1863+1)</f>
        <v>2040</v>
      </c>
      <c r="D1864" s="736">
        <f t="shared" si="169"/>
        <v>983498.44914285757</v>
      </c>
      <c r="E1864" s="789">
        <f t="shared" si="171"/>
        <v>75653.726857142858</v>
      </c>
      <c r="F1864" s="789">
        <f t="shared" si="165"/>
        <v>907844.7222857147</v>
      </c>
      <c r="G1864" s="736">
        <f t="shared" si="170"/>
        <v>945671.58571428619</v>
      </c>
      <c r="H1864" s="794">
        <f>+J1836*G1864+E1864</f>
        <v>212306.89522321353</v>
      </c>
      <c r="I1864" s="795">
        <f>+J1837*G1864+E1864</f>
        <v>212306.89522321353</v>
      </c>
      <c r="J1864" s="792">
        <f t="shared" si="172"/>
        <v>0</v>
      </c>
      <c r="K1864" s="792"/>
      <c r="L1864" s="812"/>
      <c r="M1864" s="792">
        <f t="shared" si="166"/>
        <v>0</v>
      </c>
      <c r="N1864" s="812"/>
      <c r="O1864" s="792">
        <f t="shared" si="167"/>
        <v>0</v>
      </c>
      <c r="P1864" s="792">
        <f t="shared" si="168"/>
        <v>0</v>
      </c>
    </row>
    <row r="1865" spans="3:16">
      <c r="C1865" s="788">
        <f>IF(D1835="","-",+C1864+1)</f>
        <v>2041</v>
      </c>
      <c r="D1865" s="736">
        <f t="shared" si="169"/>
        <v>907844.7222857147</v>
      </c>
      <c r="E1865" s="789">
        <f t="shared" si="171"/>
        <v>75653.726857142858</v>
      </c>
      <c r="F1865" s="789">
        <f t="shared" si="165"/>
        <v>832190.99542857183</v>
      </c>
      <c r="G1865" s="736">
        <f t="shared" si="170"/>
        <v>870017.8588571432</v>
      </c>
      <c r="H1865" s="794">
        <f>+J1836*G1865+E1865</f>
        <v>201374.64175392786</v>
      </c>
      <c r="I1865" s="795">
        <f>+J1837*G1865+E1865</f>
        <v>201374.64175392786</v>
      </c>
      <c r="J1865" s="792">
        <f t="shared" si="172"/>
        <v>0</v>
      </c>
      <c r="K1865" s="792"/>
      <c r="L1865" s="812"/>
      <c r="M1865" s="792">
        <f t="shared" si="166"/>
        <v>0</v>
      </c>
      <c r="N1865" s="812"/>
      <c r="O1865" s="792">
        <f t="shared" si="167"/>
        <v>0</v>
      </c>
      <c r="P1865" s="792">
        <f t="shared" si="168"/>
        <v>0</v>
      </c>
    </row>
    <row r="1866" spans="3:16">
      <c r="C1866" s="788">
        <f>IF(D1835="","-",+C1865+1)</f>
        <v>2042</v>
      </c>
      <c r="D1866" s="736">
        <f t="shared" si="169"/>
        <v>832190.99542857183</v>
      </c>
      <c r="E1866" s="789">
        <f t="shared" si="171"/>
        <v>75653.726857142858</v>
      </c>
      <c r="F1866" s="789">
        <f t="shared" si="165"/>
        <v>756537.26857142895</v>
      </c>
      <c r="G1866" s="736">
        <f t="shared" si="170"/>
        <v>794364.13200000045</v>
      </c>
      <c r="H1866" s="794">
        <f>+J1836*G1866+E1866</f>
        <v>190442.38828464225</v>
      </c>
      <c r="I1866" s="795">
        <f>+J1837*G1866+E1866</f>
        <v>190442.38828464225</v>
      </c>
      <c r="J1866" s="792">
        <f t="shared" si="172"/>
        <v>0</v>
      </c>
      <c r="K1866" s="792"/>
      <c r="L1866" s="812"/>
      <c r="M1866" s="792">
        <f t="shared" si="166"/>
        <v>0</v>
      </c>
      <c r="N1866" s="812"/>
      <c r="O1866" s="792">
        <f t="shared" si="167"/>
        <v>0</v>
      </c>
      <c r="P1866" s="792">
        <f t="shared" si="168"/>
        <v>0</v>
      </c>
    </row>
    <row r="1867" spans="3:16">
      <c r="C1867" s="788">
        <f>IF(D1835="","-",+C1866+1)</f>
        <v>2043</v>
      </c>
      <c r="D1867" s="736">
        <f t="shared" si="169"/>
        <v>756537.26857142895</v>
      </c>
      <c r="E1867" s="789">
        <f t="shared" si="171"/>
        <v>75653.726857142858</v>
      </c>
      <c r="F1867" s="789">
        <f t="shared" si="165"/>
        <v>680883.54171428608</v>
      </c>
      <c r="G1867" s="736">
        <f t="shared" si="170"/>
        <v>718710.40514285746</v>
      </c>
      <c r="H1867" s="794">
        <f>+J1836*G1867+E1867</f>
        <v>179510.13481535658</v>
      </c>
      <c r="I1867" s="795">
        <f>+J1837*G1867+E1867</f>
        <v>179510.13481535658</v>
      </c>
      <c r="J1867" s="792">
        <f t="shared" si="172"/>
        <v>0</v>
      </c>
      <c r="K1867" s="792"/>
      <c r="L1867" s="812"/>
      <c r="M1867" s="792">
        <f t="shared" si="166"/>
        <v>0</v>
      </c>
      <c r="N1867" s="812"/>
      <c r="O1867" s="792">
        <f t="shared" si="167"/>
        <v>0</v>
      </c>
      <c r="P1867" s="792">
        <f t="shared" si="168"/>
        <v>0</v>
      </c>
    </row>
    <row r="1868" spans="3:16">
      <c r="C1868" s="788">
        <f>IF(D1835="","-",+C1867+1)</f>
        <v>2044</v>
      </c>
      <c r="D1868" s="736">
        <f t="shared" si="169"/>
        <v>680883.54171428608</v>
      </c>
      <c r="E1868" s="789">
        <f t="shared" si="171"/>
        <v>75653.726857142858</v>
      </c>
      <c r="F1868" s="789">
        <f t="shared" si="165"/>
        <v>605229.81485714321</v>
      </c>
      <c r="G1868" s="736">
        <f t="shared" si="170"/>
        <v>643056.6782857147</v>
      </c>
      <c r="H1868" s="794">
        <f>+J1836*G1868+E1868</f>
        <v>168577.88134607094</v>
      </c>
      <c r="I1868" s="795">
        <f>+J1837*G1868+E1868</f>
        <v>168577.88134607094</v>
      </c>
      <c r="J1868" s="792">
        <f t="shared" si="172"/>
        <v>0</v>
      </c>
      <c r="K1868" s="792"/>
      <c r="L1868" s="812"/>
      <c r="M1868" s="792">
        <f t="shared" si="166"/>
        <v>0</v>
      </c>
      <c r="N1868" s="812"/>
      <c r="O1868" s="792">
        <f t="shared" si="167"/>
        <v>0</v>
      </c>
      <c r="P1868" s="792">
        <f t="shared" si="168"/>
        <v>0</v>
      </c>
    </row>
    <row r="1869" spans="3:16">
      <c r="C1869" s="788">
        <f>IF(D1835="","-",+C1868+1)</f>
        <v>2045</v>
      </c>
      <c r="D1869" s="736">
        <f t="shared" si="169"/>
        <v>605229.81485714321</v>
      </c>
      <c r="E1869" s="789">
        <f t="shared" si="171"/>
        <v>75653.726857142858</v>
      </c>
      <c r="F1869" s="789">
        <f t="shared" si="165"/>
        <v>529576.08800000034</v>
      </c>
      <c r="G1869" s="736">
        <f t="shared" si="170"/>
        <v>567402.95142857172</v>
      </c>
      <c r="H1869" s="794">
        <f>+J1836*G1869+E1869</f>
        <v>157645.62787678526</v>
      </c>
      <c r="I1869" s="795">
        <f>+J1837*G1869+E1869</f>
        <v>157645.62787678526</v>
      </c>
      <c r="J1869" s="792">
        <f t="shared" si="172"/>
        <v>0</v>
      </c>
      <c r="K1869" s="792"/>
      <c r="L1869" s="812"/>
      <c r="M1869" s="792">
        <f t="shared" si="166"/>
        <v>0</v>
      </c>
      <c r="N1869" s="812"/>
      <c r="O1869" s="792">
        <f t="shared" si="167"/>
        <v>0</v>
      </c>
      <c r="P1869" s="792">
        <f t="shared" si="168"/>
        <v>0</v>
      </c>
    </row>
    <row r="1870" spans="3:16">
      <c r="C1870" s="788">
        <f>IF(D1835="","-",+C1869+1)</f>
        <v>2046</v>
      </c>
      <c r="D1870" s="736">
        <f t="shared" si="169"/>
        <v>529576.08800000034</v>
      </c>
      <c r="E1870" s="789">
        <f t="shared" si="171"/>
        <v>75653.726857142858</v>
      </c>
      <c r="F1870" s="789">
        <f t="shared" si="165"/>
        <v>453922.36114285747</v>
      </c>
      <c r="G1870" s="736">
        <f t="shared" si="170"/>
        <v>491749.2245714289</v>
      </c>
      <c r="H1870" s="794">
        <f>+J1836*G1870+E1870</f>
        <v>146713.37440749962</v>
      </c>
      <c r="I1870" s="795">
        <f>+J1837*G1870+E1870</f>
        <v>146713.37440749962</v>
      </c>
      <c r="J1870" s="792">
        <f t="shared" si="172"/>
        <v>0</v>
      </c>
      <c r="K1870" s="792"/>
      <c r="L1870" s="812"/>
      <c r="M1870" s="792">
        <f t="shared" si="166"/>
        <v>0</v>
      </c>
      <c r="N1870" s="812"/>
      <c r="O1870" s="792">
        <f t="shared" si="167"/>
        <v>0</v>
      </c>
      <c r="P1870" s="792">
        <f t="shared" si="168"/>
        <v>0</v>
      </c>
    </row>
    <row r="1871" spans="3:16">
      <c r="C1871" s="788">
        <f>IF(D1835="","-",+C1870+1)</f>
        <v>2047</v>
      </c>
      <c r="D1871" s="736">
        <f t="shared" si="169"/>
        <v>453922.36114285747</v>
      </c>
      <c r="E1871" s="789">
        <f t="shared" si="171"/>
        <v>75653.726857142858</v>
      </c>
      <c r="F1871" s="789">
        <f t="shared" si="165"/>
        <v>378268.63428571459</v>
      </c>
      <c r="G1871" s="736">
        <f t="shared" si="170"/>
        <v>416095.49771428603</v>
      </c>
      <c r="H1871" s="794">
        <f>+J1836*G1871+E1871</f>
        <v>135781.12093821398</v>
      </c>
      <c r="I1871" s="795">
        <f>+J1837*G1871+E1871</f>
        <v>135781.12093821398</v>
      </c>
      <c r="J1871" s="792">
        <f t="shared" si="172"/>
        <v>0</v>
      </c>
      <c r="K1871" s="792"/>
      <c r="L1871" s="812"/>
      <c r="M1871" s="792">
        <f t="shared" si="166"/>
        <v>0</v>
      </c>
      <c r="N1871" s="812"/>
      <c r="O1871" s="792">
        <f t="shared" si="167"/>
        <v>0</v>
      </c>
      <c r="P1871" s="792">
        <f t="shared" si="168"/>
        <v>0</v>
      </c>
    </row>
    <row r="1872" spans="3:16">
      <c r="C1872" s="788">
        <f>IF(D1835="","-",+C1871+1)</f>
        <v>2048</v>
      </c>
      <c r="D1872" s="736">
        <f t="shared" si="169"/>
        <v>378268.63428571459</v>
      </c>
      <c r="E1872" s="789">
        <f t="shared" si="171"/>
        <v>75653.726857142858</v>
      </c>
      <c r="F1872" s="789">
        <f t="shared" si="165"/>
        <v>302614.90742857172</v>
      </c>
      <c r="G1872" s="736">
        <f t="shared" si="170"/>
        <v>340441.77085714316</v>
      </c>
      <c r="H1872" s="794">
        <f>+J1836*G1872+E1872</f>
        <v>124848.86746892832</v>
      </c>
      <c r="I1872" s="795">
        <f>+J1837*G1872+E1872</f>
        <v>124848.86746892832</v>
      </c>
      <c r="J1872" s="792">
        <f t="shared" si="172"/>
        <v>0</v>
      </c>
      <c r="K1872" s="792"/>
      <c r="L1872" s="812"/>
      <c r="M1872" s="792">
        <f t="shared" si="166"/>
        <v>0</v>
      </c>
      <c r="N1872" s="812"/>
      <c r="O1872" s="792">
        <f t="shared" si="167"/>
        <v>0</v>
      </c>
      <c r="P1872" s="792">
        <f t="shared" si="168"/>
        <v>0</v>
      </c>
    </row>
    <row r="1873" spans="3:16">
      <c r="C1873" s="788">
        <f>IF(D1835="","-",+C1872+1)</f>
        <v>2049</v>
      </c>
      <c r="D1873" s="736">
        <f t="shared" si="169"/>
        <v>302614.90742857172</v>
      </c>
      <c r="E1873" s="789">
        <f t="shared" si="171"/>
        <v>75653.726857142858</v>
      </c>
      <c r="F1873" s="789">
        <f t="shared" si="165"/>
        <v>226961.18057142885</v>
      </c>
      <c r="G1873" s="736">
        <f t="shared" si="170"/>
        <v>264788.04400000029</v>
      </c>
      <c r="H1873" s="794">
        <f>+J1836*G1873+E1873</f>
        <v>113916.61399964266</v>
      </c>
      <c r="I1873" s="795">
        <f>+J1837*G1873+E1873</f>
        <v>113916.61399964266</v>
      </c>
      <c r="J1873" s="792">
        <f t="shared" si="172"/>
        <v>0</v>
      </c>
      <c r="K1873" s="792"/>
      <c r="L1873" s="812"/>
      <c r="M1873" s="792">
        <f t="shared" si="166"/>
        <v>0</v>
      </c>
      <c r="N1873" s="812"/>
      <c r="O1873" s="792">
        <f t="shared" si="167"/>
        <v>0</v>
      </c>
      <c r="P1873" s="792">
        <f t="shared" si="168"/>
        <v>0</v>
      </c>
    </row>
    <row r="1874" spans="3:16">
      <c r="C1874" s="788">
        <f>IF(D1835="","-",+C1873+1)</f>
        <v>2050</v>
      </c>
      <c r="D1874" s="736">
        <f t="shared" si="169"/>
        <v>226961.18057142885</v>
      </c>
      <c r="E1874" s="789">
        <f t="shared" si="171"/>
        <v>75653.726857142858</v>
      </c>
      <c r="F1874" s="789">
        <f t="shared" si="165"/>
        <v>151307.45371428598</v>
      </c>
      <c r="G1874" s="736">
        <f t="shared" si="170"/>
        <v>189134.31714285741</v>
      </c>
      <c r="H1874" s="794">
        <f>+J1836*G1874+E1874</f>
        <v>102984.36053035702</v>
      </c>
      <c r="I1874" s="795">
        <f>+J1837*G1874+E1874</f>
        <v>102984.36053035702</v>
      </c>
      <c r="J1874" s="792">
        <f t="shared" si="172"/>
        <v>0</v>
      </c>
      <c r="K1874" s="792"/>
      <c r="L1874" s="812"/>
      <c r="M1874" s="792">
        <f t="shared" si="166"/>
        <v>0</v>
      </c>
      <c r="N1874" s="812"/>
      <c r="O1874" s="792">
        <f t="shared" si="167"/>
        <v>0</v>
      </c>
      <c r="P1874" s="792">
        <f t="shared" si="168"/>
        <v>0</v>
      </c>
    </row>
    <row r="1875" spans="3:16">
      <c r="C1875" s="788">
        <f>IF(D1835="","-",+C1874+1)</f>
        <v>2051</v>
      </c>
      <c r="D1875" s="736">
        <f t="shared" si="169"/>
        <v>151307.45371428598</v>
      </c>
      <c r="E1875" s="789">
        <f t="shared" si="171"/>
        <v>75653.726857142858</v>
      </c>
      <c r="F1875" s="789">
        <f t="shared" si="165"/>
        <v>75653.72685714312</v>
      </c>
      <c r="G1875" s="736">
        <f t="shared" si="170"/>
        <v>113480.59028571454</v>
      </c>
      <c r="H1875" s="794">
        <f>+J1836*G1875+E1875</f>
        <v>92052.107061071365</v>
      </c>
      <c r="I1875" s="795">
        <f>+J1837*G1875+E1875</f>
        <v>92052.107061071365</v>
      </c>
      <c r="J1875" s="792">
        <f t="shared" si="172"/>
        <v>0</v>
      </c>
      <c r="K1875" s="792"/>
      <c r="L1875" s="812"/>
      <c r="M1875" s="792">
        <f t="shared" si="166"/>
        <v>0</v>
      </c>
      <c r="N1875" s="812"/>
      <c r="O1875" s="792">
        <f t="shared" si="167"/>
        <v>0</v>
      </c>
      <c r="P1875" s="792">
        <f t="shared" si="168"/>
        <v>0</v>
      </c>
    </row>
    <row r="1876" spans="3:16">
      <c r="C1876" s="788">
        <f>IF(D1835="","-",+C1875+1)</f>
        <v>2052</v>
      </c>
      <c r="D1876" s="736">
        <f t="shared" si="169"/>
        <v>75653.72685714312</v>
      </c>
      <c r="E1876" s="789">
        <f t="shared" si="171"/>
        <v>75653.726857142858</v>
      </c>
      <c r="F1876" s="789">
        <f t="shared" si="165"/>
        <v>2.6193447411060333E-10</v>
      </c>
      <c r="G1876" s="736">
        <f t="shared" si="170"/>
        <v>37826.863428571691</v>
      </c>
      <c r="H1876" s="794">
        <f>+J1836*G1876+E1876</f>
        <v>81119.853591785723</v>
      </c>
      <c r="I1876" s="795">
        <f>+J1837*G1876+E1876</f>
        <v>81119.853591785723</v>
      </c>
      <c r="J1876" s="792">
        <f t="shared" si="172"/>
        <v>0</v>
      </c>
      <c r="K1876" s="792"/>
      <c r="L1876" s="812"/>
      <c r="M1876" s="792">
        <f t="shared" si="166"/>
        <v>0</v>
      </c>
      <c r="N1876" s="812"/>
      <c r="O1876" s="792">
        <f t="shared" si="167"/>
        <v>0</v>
      </c>
      <c r="P1876" s="792">
        <f t="shared" si="168"/>
        <v>0</v>
      </c>
    </row>
    <row r="1877" spans="3:16">
      <c r="C1877" s="788">
        <f>IF(D1835="","-",+C1876+1)</f>
        <v>2053</v>
      </c>
      <c r="D1877" s="736">
        <f t="shared" si="169"/>
        <v>2.6193447411060333E-10</v>
      </c>
      <c r="E1877" s="789">
        <f t="shared" si="171"/>
        <v>2.6193447411060333E-10</v>
      </c>
      <c r="F1877" s="789">
        <f t="shared" si="165"/>
        <v>0</v>
      </c>
      <c r="G1877" s="736">
        <f t="shared" si="170"/>
        <v>1.3096723705530167E-10</v>
      </c>
      <c r="H1877" s="794">
        <f>+J1836*G1877+E1877</f>
        <v>2.808597417892755E-10</v>
      </c>
      <c r="I1877" s="795">
        <f>+J1837*G1877+E1877</f>
        <v>2.808597417892755E-10</v>
      </c>
      <c r="J1877" s="792">
        <f t="shared" si="172"/>
        <v>0</v>
      </c>
      <c r="K1877" s="792"/>
      <c r="L1877" s="812"/>
      <c r="M1877" s="792">
        <f t="shared" si="166"/>
        <v>0</v>
      </c>
      <c r="N1877" s="812"/>
      <c r="O1877" s="792">
        <f t="shared" si="167"/>
        <v>0</v>
      </c>
      <c r="P1877" s="792">
        <f t="shared" si="168"/>
        <v>0</v>
      </c>
    </row>
    <row r="1878" spans="3:16">
      <c r="C1878" s="788">
        <f>IF(D1835="","-",+C1877+1)</f>
        <v>2054</v>
      </c>
      <c r="D1878" s="736">
        <f t="shared" si="169"/>
        <v>0</v>
      </c>
      <c r="E1878" s="789">
        <f t="shared" si="171"/>
        <v>0</v>
      </c>
      <c r="F1878" s="789">
        <f t="shared" si="165"/>
        <v>0</v>
      </c>
      <c r="G1878" s="736">
        <f t="shared" si="170"/>
        <v>0</v>
      </c>
      <c r="H1878" s="794">
        <f>+J1836*G1878+E1878</f>
        <v>0</v>
      </c>
      <c r="I1878" s="795">
        <f>+J1837*G1878+E1878</f>
        <v>0</v>
      </c>
      <c r="J1878" s="792">
        <f t="shared" si="172"/>
        <v>0</v>
      </c>
      <c r="K1878" s="792"/>
      <c r="L1878" s="812"/>
      <c r="M1878" s="792">
        <f t="shared" si="166"/>
        <v>0</v>
      </c>
      <c r="N1878" s="812"/>
      <c r="O1878" s="792">
        <f t="shared" si="167"/>
        <v>0</v>
      </c>
      <c r="P1878" s="792">
        <f t="shared" si="168"/>
        <v>0</v>
      </c>
    </row>
    <row r="1879" spans="3:16">
      <c r="C1879" s="788">
        <f>IF(D1835="","-",+C1878+1)</f>
        <v>2055</v>
      </c>
      <c r="D1879" s="736">
        <f t="shared" si="169"/>
        <v>0</v>
      </c>
      <c r="E1879" s="789">
        <f t="shared" si="171"/>
        <v>0</v>
      </c>
      <c r="F1879" s="789">
        <f t="shared" si="165"/>
        <v>0</v>
      </c>
      <c r="G1879" s="736">
        <f t="shared" si="170"/>
        <v>0</v>
      </c>
      <c r="H1879" s="794">
        <f>+J1836*G1879+E1879</f>
        <v>0</v>
      </c>
      <c r="I1879" s="795">
        <f>+J1837*G1879+E1879</f>
        <v>0</v>
      </c>
      <c r="J1879" s="792">
        <f t="shared" si="172"/>
        <v>0</v>
      </c>
      <c r="K1879" s="792"/>
      <c r="L1879" s="812"/>
      <c r="M1879" s="792">
        <f t="shared" si="166"/>
        <v>0</v>
      </c>
      <c r="N1879" s="812"/>
      <c r="O1879" s="792">
        <f t="shared" si="167"/>
        <v>0</v>
      </c>
      <c r="P1879" s="792">
        <f t="shared" si="168"/>
        <v>0</v>
      </c>
    </row>
    <row r="1880" spans="3:16">
      <c r="C1880" s="788">
        <f>IF(D1835="","-",+C1879+1)</f>
        <v>2056</v>
      </c>
      <c r="D1880" s="736">
        <f t="shared" si="169"/>
        <v>0</v>
      </c>
      <c r="E1880" s="789">
        <f t="shared" si="171"/>
        <v>0</v>
      </c>
      <c r="F1880" s="789">
        <f t="shared" si="165"/>
        <v>0</v>
      </c>
      <c r="G1880" s="736">
        <f t="shared" si="170"/>
        <v>0</v>
      </c>
      <c r="H1880" s="794">
        <f>+J1836*G1880+E1880</f>
        <v>0</v>
      </c>
      <c r="I1880" s="795">
        <f>+J1837*G1880+E1880</f>
        <v>0</v>
      </c>
      <c r="J1880" s="792">
        <f t="shared" si="172"/>
        <v>0</v>
      </c>
      <c r="K1880" s="792"/>
      <c r="L1880" s="812"/>
      <c r="M1880" s="792">
        <f t="shared" si="166"/>
        <v>0</v>
      </c>
      <c r="N1880" s="812"/>
      <c r="O1880" s="792">
        <f t="shared" si="167"/>
        <v>0</v>
      </c>
      <c r="P1880" s="792">
        <f t="shared" si="168"/>
        <v>0</v>
      </c>
    </row>
    <row r="1881" spans="3:16">
      <c r="C1881" s="788">
        <f>IF(D1835="","-",+C1880+1)</f>
        <v>2057</v>
      </c>
      <c r="D1881" s="736">
        <f t="shared" si="169"/>
        <v>0</v>
      </c>
      <c r="E1881" s="789">
        <f t="shared" si="171"/>
        <v>0</v>
      </c>
      <c r="F1881" s="789">
        <f t="shared" si="165"/>
        <v>0</v>
      </c>
      <c r="G1881" s="736">
        <f t="shared" si="170"/>
        <v>0</v>
      </c>
      <c r="H1881" s="794">
        <f>+J1836*G1881+E1881</f>
        <v>0</v>
      </c>
      <c r="I1881" s="795">
        <f>+J1837*G1881+E1881</f>
        <v>0</v>
      </c>
      <c r="J1881" s="792">
        <f t="shared" si="172"/>
        <v>0</v>
      </c>
      <c r="K1881" s="792"/>
      <c r="L1881" s="812"/>
      <c r="M1881" s="792">
        <f t="shared" si="166"/>
        <v>0</v>
      </c>
      <c r="N1881" s="812"/>
      <c r="O1881" s="792">
        <f t="shared" si="167"/>
        <v>0</v>
      </c>
      <c r="P1881" s="792">
        <f t="shared" si="168"/>
        <v>0</v>
      </c>
    </row>
    <row r="1882" spans="3:16">
      <c r="C1882" s="788">
        <f>IF(D1835="","-",+C1881+1)</f>
        <v>2058</v>
      </c>
      <c r="D1882" s="736">
        <f t="shared" si="169"/>
        <v>0</v>
      </c>
      <c r="E1882" s="789">
        <f t="shared" si="171"/>
        <v>0</v>
      </c>
      <c r="F1882" s="789">
        <f t="shared" si="165"/>
        <v>0</v>
      </c>
      <c r="G1882" s="736">
        <f t="shared" si="170"/>
        <v>0</v>
      </c>
      <c r="H1882" s="794">
        <f>+J1836*G1882+E1882</f>
        <v>0</v>
      </c>
      <c r="I1882" s="795">
        <f>+J1837*G1882+E1882</f>
        <v>0</v>
      </c>
      <c r="J1882" s="792">
        <f t="shared" si="172"/>
        <v>0</v>
      </c>
      <c r="K1882" s="792"/>
      <c r="L1882" s="812"/>
      <c r="M1882" s="792">
        <f t="shared" si="166"/>
        <v>0</v>
      </c>
      <c r="N1882" s="812"/>
      <c r="O1882" s="792">
        <f t="shared" si="167"/>
        <v>0</v>
      </c>
      <c r="P1882" s="792">
        <f t="shared" si="168"/>
        <v>0</v>
      </c>
    </row>
    <row r="1883" spans="3:16">
      <c r="C1883" s="788">
        <f>IF(D1835="","-",+C1882+1)</f>
        <v>2059</v>
      </c>
      <c r="D1883" s="736">
        <f t="shared" si="169"/>
        <v>0</v>
      </c>
      <c r="E1883" s="789">
        <f t="shared" si="171"/>
        <v>0</v>
      </c>
      <c r="F1883" s="789">
        <f t="shared" si="165"/>
        <v>0</v>
      </c>
      <c r="G1883" s="736">
        <f t="shared" si="170"/>
        <v>0</v>
      </c>
      <c r="H1883" s="794">
        <f>+J1836*G1883+E1883</f>
        <v>0</v>
      </c>
      <c r="I1883" s="795">
        <f>+J1837*G1883+E1883</f>
        <v>0</v>
      </c>
      <c r="J1883" s="792">
        <f t="shared" si="172"/>
        <v>0</v>
      </c>
      <c r="K1883" s="792"/>
      <c r="L1883" s="812"/>
      <c r="M1883" s="792">
        <f t="shared" si="166"/>
        <v>0</v>
      </c>
      <c r="N1883" s="812"/>
      <c r="O1883" s="792">
        <f t="shared" si="167"/>
        <v>0</v>
      </c>
      <c r="P1883" s="792">
        <f t="shared" si="168"/>
        <v>0</v>
      </c>
    </row>
    <row r="1884" spans="3:16">
      <c r="C1884" s="788">
        <f>IF(D1835="","-",+C1883+1)</f>
        <v>2060</v>
      </c>
      <c r="D1884" s="736">
        <f t="shared" si="169"/>
        <v>0</v>
      </c>
      <c r="E1884" s="789">
        <f t="shared" si="171"/>
        <v>0</v>
      </c>
      <c r="F1884" s="789">
        <f t="shared" si="165"/>
        <v>0</v>
      </c>
      <c r="G1884" s="736">
        <f t="shared" si="170"/>
        <v>0</v>
      </c>
      <c r="H1884" s="794">
        <f>+J1836*G1884+E1884</f>
        <v>0</v>
      </c>
      <c r="I1884" s="795">
        <f>+J1837*G1884+E1884</f>
        <v>0</v>
      </c>
      <c r="J1884" s="792">
        <f t="shared" si="172"/>
        <v>0</v>
      </c>
      <c r="K1884" s="792"/>
      <c r="L1884" s="812"/>
      <c r="M1884" s="792">
        <f t="shared" si="166"/>
        <v>0</v>
      </c>
      <c r="N1884" s="812"/>
      <c r="O1884" s="792">
        <f t="shared" si="167"/>
        <v>0</v>
      </c>
      <c r="P1884" s="792">
        <f t="shared" si="168"/>
        <v>0</v>
      </c>
    </row>
    <row r="1885" spans="3:16">
      <c r="C1885" s="788">
        <f>IF(D1835="","-",+C1884+1)</f>
        <v>2061</v>
      </c>
      <c r="D1885" s="736">
        <f t="shared" si="169"/>
        <v>0</v>
      </c>
      <c r="E1885" s="789">
        <f t="shared" si="171"/>
        <v>0</v>
      </c>
      <c r="F1885" s="789">
        <f t="shared" si="165"/>
        <v>0</v>
      </c>
      <c r="G1885" s="736">
        <f t="shared" si="170"/>
        <v>0</v>
      </c>
      <c r="H1885" s="794">
        <f>+J1836*G1885+E1885</f>
        <v>0</v>
      </c>
      <c r="I1885" s="795">
        <f>+J1837*G1885+E1885</f>
        <v>0</v>
      </c>
      <c r="J1885" s="792">
        <f t="shared" si="172"/>
        <v>0</v>
      </c>
      <c r="K1885" s="792"/>
      <c r="L1885" s="812"/>
      <c r="M1885" s="792">
        <f t="shared" si="166"/>
        <v>0</v>
      </c>
      <c r="N1885" s="812"/>
      <c r="O1885" s="792">
        <f t="shared" si="167"/>
        <v>0</v>
      </c>
      <c r="P1885" s="792">
        <f t="shared" si="168"/>
        <v>0</v>
      </c>
    </row>
    <row r="1886" spans="3:16">
      <c r="C1886" s="788">
        <f>IF(D1835="","-",+C1885+1)</f>
        <v>2062</v>
      </c>
      <c r="D1886" s="736">
        <f t="shared" si="169"/>
        <v>0</v>
      </c>
      <c r="E1886" s="789">
        <f t="shared" si="171"/>
        <v>0</v>
      </c>
      <c r="F1886" s="789">
        <f t="shared" si="165"/>
        <v>0</v>
      </c>
      <c r="G1886" s="736">
        <f t="shared" si="170"/>
        <v>0</v>
      </c>
      <c r="H1886" s="794">
        <f>+J1836*G1886+E1886</f>
        <v>0</v>
      </c>
      <c r="I1886" s="795">
        <f>+J1837*G1886+E1886</f>
        <v>0</v>
      </c>
      <c r="J1886" s="792">
        <f t="shared" si="172"/>
        <v>0</v>
      </c>
      <c r="K1886" s="792"/>
      <c r="L1886" s="812"/>
      <c r="M1886" s="792">
        <f t="shared" si="166"/>
        <v>0</v>
      </c>
      <c r="N1886" s="812"/>
      <c r="O1886" s="792">
        <f t="shared" si="167"/>
        <v>0</v>
      </c>
      <c r="P1886" s="792">
        <f t="shared" si="168"/>
        <v>0</v>
      </c>
    </row>
    <row r="1887" spans="3:16">
      <c r="C1887" s="788">
        <f>IF(D1835="","-",+C1886+1)</f>
        <v>2063</v>
      </c>
      <c r="D1887" s="736">
        <f t="shared" si="169"/>
        <v>0</v>
      </c>
      <c r="E1887" s="789">
        <f t="shared" si="171"/>
        <v>0</v>
      </c>
      <c r="F1887" s="789">
        <f t="shared" si="165"/>
        <v>0</v>
      </c>
      <c r="G1887" s="736">
        <f t="shared" si="170"/>
        <v>0</v>
      </c>
      <c r="H1887" s="794">
        <f>+J1836*G1887+E1887</f>
        <v>0</v>
      </c>
      <c r="I1887" s="795">
        <f>+J1837*G1887+E1887</f>
        <v>0</v>
      </c>
      <c r="J1887" s="792">
        <f t="shared" si="172"/>
        <v>0</v>
      </c>
      <c r="K1887" s="792"/>
      <c r="L1887" s="812"/>
      <c r="M1887" s="792">
        <f t="shared" si="166"/>
        <v>0</v>
      </c>
      <c r="N1887" s="812"/>
      <c r="O1887" s="792">
        <f t="shared" si="167"/>
        <v>0</v>
      </c>
      <c r="P1887" s="792">
        <f t="shared" si="168"/>
        <v>0</v>
      </c>
    </row>
    <row r="1888" spans="3:16">
      <c r="C1888" s="788">
        <f>IF(D1835="","-",+C1887+1)</f>
        <v>2064</v>
      </c>
      <c r="D1888" s="736">
        <f t="shared" si="169"/>
        <v>0</v>
      </c>
      <c r="E1888" s="789">
        <f t="shared" si="171"/>
        <v>0</v>
      </c>
      <c r="F1888" s="789">
        <f t="shared" si="165"/>
        <v>0</v>
      </c>
      <c r="G1888" s="736">
        <f t="shared" si="170"/>
        <v>0</v>
      </c>
      <c r="H1888" s="794">
        <f>+J1836*G1888+E1888</f>
        <v>0</v>
      </c>
      <c r="I1888" s="795">
        <f>+J1837*G1888+E1888</f>
        <v>0</v>
      </c>
      <c r="J1888" s="792">
        <f t="shared" si="172"/>
        <v>0</v>
      </c>
      <c r="K1888" s="792"/>
      <c r="L1888" s="812"/>
      <c r="M1888" s="792">
        <f t="shared" si="166"/>
        <v>0</v>
      </c>
      <c r="N1888" s="812"/>
      <c r="O1888" s="792">
        <f t="shared" si="167"/>
        <v>0</v>
      </c>
      <c r="P1888" s="792">
        <f t="shared" si="168"/>
        <v>0</v>
      </c>
    </row>
    <row r="1889" spans="3:16">
      <c r="C1889" s="788">
        <f>IF(D1835="","-",+C1888+1)</f>
        <v>2065</v>
      </c>
      <c r="D1889" s="736">
        <f t="shared" si="169"/>
        <v>0</v>
      </c>
      <c r="E1889" s="789">
        <f t="shared" si="171"/>
        <v>0</v>
      </c>
      <c r="F1889" s="789">
        <f t="shared" si="165"/>
        <v>0</v>
      </c>
      <c r="G1889" s="736">
        <f t="shared" si="170"/>
        <v>0</v>
      </c>
      <c r="H1889" s="794">
        <f>+J1836*G1889+E1889</f>
        <v>0</v>
      </c>
      <c r="I1889" s="795">
        <f>+J1837*G1889+E1889</f>
        <v>0</v>
      </c>
      <c r="J1889" s="792">
        <f t="shared" si="172"/>
        <v>0</v>
      </c>
      <c r="K1889" s="792"/>
      <c r="L1889" s="812"/>
      <c r="M1889" s="792">
        <f t="shared" si="166"/>
        <v>0</v>
      </c>
      <c r="N1889" s="812"/>
      <c r="O1889" s="792">
        <f t="shared" si="167"/>
        <v>0</v>
      </c>
      <c r="P1889" s="792">
        <f t="shared" si="168"/>
        <v>0</v>
      </c>
    </row>
    <row r="1890" spans="3:16">
      <c r="C1890" s="788">
        <f>IF(D1835="","-",+C1889+1)</f>
        <v>2066</v>
      </c>
      <c r="D1890" s="736">
        <f t="shared" si="169"/>
        <v>0</v>
      </c>
      <c r="E1890" s="789">
        <f t="shared" si="171"/>
        <v>0</v>
      </c>
      <c r="F1890" s="789">
        <f t="shared" si="165"/>
        <v>0</v>
      </c>
      <c r="G1890" s="736">
        <f t="shared" si="170"/>
        <v>0</v>
      </c>
      <c r="H1890" s="794">
        <f>+J1836*G1890+E1890</f>
        <v>0</v>
      </c>
      <c r="I1890" s="795">
        <f>+J1837*G1890+E1890</f>
        <v>0</v>
      </c>
      <c r="J1890" s="792">
        <f t="shared" si="172"/>
        <v>0</v>
      </c>
      <c r="K1890" s="792"/>
      <c r="L1890" s="812"/>
      <c r="M1890" s="792">
        <f t="shared" si="166"/>
        <v>0</v>
      </c>
      <c r="N1890" s="812"/>
      <c r="O1890" s="792">
        <f t="shared" si="167"/>
        <v>0</v>
      </c>
      <c r="P1890" s="792">
        <f t="shared" si="168"/>
        <v>0</v>
      </c>
    </row>
    <row r="1891" spans="3:16">
      <c r="C1891" s="788">
        <f>IF(D1835="","-",+C1890+1)</f>
        <v>2067</v>
      </c>
      <c r="D1891" s="736">
        <f t="shared" si="169"/>
        <v>0</v>
      </c>
      <c r="E1891" s="789">
        <f t="shared" si="171"/>
        <v>0</v>
      </c>
      <c r="F1891" s="789">
        <f t="shared" si="165"/>
        <v>0</v>
      </c>
      <c r="G1891" s="736">
        <f t="shared" si="170"/>
        <v>0</v>
      </c>
      <c r="H1891" s="794">
        <f>+J1836*G1891+E1891</f>
        <v>0</v>
      </c>
      <c r="I1891" s="795">
        <f>+J1837*G1891+E1891</f>
        <v>0</v>
      </c>
      <c r="J1891" s="792">
        <f t="shared" si="172"/>
        <v>0</v>
      </c>
      <c r="K1891" s="792"/>
      <c r="L1891" s="812"/>
      <c r="M1891" s="792">
        <f t="shared" si="166"/>
        <v>0</v>
      </c>
      <c r="N1891" s="812"/>
      <c r="O1891" s="792">
        <f t="shared" si="167"/>
        <v>0</v>
      </c>
      <c r="P1891" s="792">
        <f t="shared" si="168"/>
        <v>0</v>
      </c>
    </row>
    <row r="1892" spans="3:16">
      <c r="C1892" s="788">
        <f>IF(D1835="","-",+C1891+1)</f>
        <v>2068</v>
      </c>
      <c r="D1892" s="736">
        <f t="shared" si="169"/>
        <v>0</v>
      </c>
      <c r="E1892" s="789">
        <f t="shared" si="171"/>
        <v>0</v>
      </c>
      <c r="F1892" s="789">
        <f t="shared" si="165"/>
        <v>0</v>
      </c>
      <c r="G1892" s="736">
        <f t="shared" si="170"/>
        <v>0</v>
      </c>
      <c r="H1892" s="794">
        <f>+J1836*G1892+E1892</f>
        <v>0</v>
      </c>
      <c r="I1892" s="795">
        <f>+J1837*G1892+E1892</f>
        <v>0</v>
      </c>
      <c r="J1892" s="792">
        <f t="shared" si="172"/>
        <v>0</v>
      </c>
      <c r="K1892" s="792"/>
      <c r="L1892" s="812"/>
      <c r="M1892" s="792">
        <f t="shared" si="166"/>
        <v>0</v>
      </c>
      <c r="N1892" s="812"/>
      <c r="O1892" s="792">
        <f t="shared" si="167"/>
        <v>0</v>
      </c>
      <c r="P1892" s="792">
        <f t="shared" si="168"/>
        <v>0</v>
      </c>
    </row>
    <row r="1893" spans="3:16">
      <c r="C1893" s="788">
        <f>IF(D1835="","-",+C1892+1)</f>
        <v>2069</v>
      </c>
      <c r="D1893" s="736">
        <f t="shared" si="169"/>
        <v>0</v>
      </c>
      <c r="E1893" s="789">
        <f t="shared" si="171"/>
        <v>0</v>
      </c>
      <c r="F1893" s="789">
        <f t="shared" si="165"/>
        <v>0</v>
      </c>
      <c r="G1893" s="736">
        <f t="shared" si="170"/>
        <v>0</v>
      </c>
      <c r="H1893" s="794">
        <f>+J1836*G1893+E1893</f>
        <v>0</v>
      </c>
      <c r="I1893" s="795">
        <f>+J1837*G1893+E1893</f>
        <v>0</v>
      </c>
      <c r="J1893" s="792">
        <f t="shared" si="172"/>
        <v>0</v>
      </c>
      <c r="K1893" s="792"/>
      <c r="L1893" s="812"/>
      <c r="M1893" s="792">
        <f t="shared" si="166"/>
        <v>0</v>
      </c>
      <c r="N1893" s="812"/>
      <c r="O1893" s="792">
        <f t="shared" si="167"/>
        <v>0</v>
      </c>
      <c r="P1893" s="792">
        <f t="shared" si="168"/>
        <v>0</v>
      </c>
    </row>
    <row r="1894" spans="3:16">
      <c r="C1894" s="788">
        <f>IF(D1835="","-",+C1893+1)</f>
        <v>2070</v>
      </c>
      <c r="D1894" s="736">
        <f t="shared" si="169"/>
        <v>0</v>
      </c>
      <c r="E1894" s="789">
        <f t="shared" si="171"/>
        <v>0</v>
      </c>
      <c r="F1894" s="789">
        <f t="shared" si="165"/>
        <v>0</v>
      </c>
      <c r="G1894" s="736">
        <f t="shared" si="170"/>
        <v>0</v>
      </c>
      <c r="H1894" s="794">
        <f>+J1836*G1894+E1894</f>
        <v>0</v>
      </c>
      <c r="I1894" s="795">
        <f>+J1837*G1894+E1894</f>
        <v>0</v>
      </c>
      <c r="J1894" s="792">
        <f t="shared" si="172"/>
        <v>0</v>
      </c>
      <c r="K1894" s="792"/>
      <c r="L1894" s="812"/>
      <c r="M1894" s="792">
        <f t="shared" si="166"/>
        <v>0</v>
      </c>
      <c r="N1894" s="812"/>
      <c r="O1894" s="792">
        <f t="shared" si="167"/>
        <v>0</v>
      </c>
      <c r="P1894" s="792">
        <f t="shared" si="168"/>
        <v>0</v>
      </c>
    </row>
    <row r="1895" spans="3:16">
      <c r="C1895" s="788">
        <f>IF(D1835="","-",+C1894+1)</f>
        <v>2071</v>
      </c>
      <c r="D1895" s="736">
        <f t="shared" si="169"/>
        <v>0</v>
      </c>
      <c r="E1895" s="789">
        <f t="shared" si="171"/>
        <v>0</v>
      </c>
      <c r="F1895" s="789">
        <f t="shared" si="165"/>
        <v>0</v>
      </c>
      <c r="G1895" s="736">
        <f t="shared" si="170"/>
        <v>0</v>
      </c>
      <c r="H1895" s="794">
        <f>+J1836*G1895+E1895</f>
        <v>0</v>
      </c>
      <c r="I1895" s="795">
        <f>+J1837*G1895+E1895</f>
        <v>0</v>
      </c>
      <c r="J1895" s="792">
        <f t="shared" si="172"/>
        <v>0</v>
      </c>
      <c r="K1895" s="792"/>
      <c r="L1895" s="812"/>
      <c r="M1895" s="792">
        <f t="shared" si="166"/>
        <v>0</v>
      </c>
      <c r="N1895" s="812"/>
      <c r="O1895" s="792">
        <f t="shared" si="167"/>
        <v>0</v>
      </c>
      <c r="P1895" s="792">
        <f t="shared" si="168"/>
        <v>0</v>
      </c>
    </row>
    <row r="1896" spans="3:16">
      <c r="C1896" s="788">
        <f>IF(D1835="","-",+C1895+1)</f>
        <v>2072</v>
      </c>
      <c r="D1896" s="736">
        <f t="shared" si="169"/>
        <v>0</v>
      </c>
      <c r="E1896" s="789">
        <f t="shared" si="171"/>
        <v>0</v>
      </c>
      <c r="F1896" s="789">
        <f t="shared" si="165"/>
        <v>0</v>
      </c>
      <c r="G1896" s="736">
        <f t="shared" si="170"/>
        <v>0</v>
      </c>
      <c r="H1896" s="794">
        <f>+J1836*G1896+E1896</f>
        <v>0</v>
      </c>
      <c r="I1896" s="795">
        <f>+J1837*G1896+E1896</f>
        <v>0</v>
      </c>
      <c r="J1896" s="792">
        <f t="shared" si="172"/>
        <v>0</v>
      </c>
      <c r="K1896" s="792"/>
      <c r="L1896" s="812"/>
      <c r="M1896" s="792">
        <f t="shared" si="166"/>
        <v>0</v>
      </c>
      <c r="N1896" s="812"/>
      <c r="O1896" s="792">
        <f t="shared" si="167"/>
        <v>0</v>
      </c>
      <c r="P1896" s="792">
        <f t="shared" si="168"/>
        <v>0</v>
      </c>
    </row>
    <row r="1897" spans="3:16">
      <c r="C1897" s="788">
        <f>IF(D1835="","-",+C1896+1)</f>
        <v>2073</v>
      </c>
      <c r="D1897" s="736">
        <f t="shared" si="169"/>
        <v>0</v>
      </c>
      <c r="E1897" s="789">
        <f t="shared" si="171"/>
        <v>0</v>
      </c>
      <c r="F1897" s="789">
        <f t="shared" si="165"/>
        <v>0</v>
      </c>
      <c r="G1897" s="736">
        <f t="shared" si="170"/>
        <v>0</v>
      </c>
      <c r="H1897" s="794">
        <f>+J1836*G1897+E1897</f>
        <v>0</v>
      </c>
      <c r="I1897" s="795">
        <f>+J1837*G1897+E1897</f>
        <v>0</v>
      </c>
      <c r="J1897" s="792">
        <f t="shared" si="172"/>
        <v>0</v>
      </c>
      <c r="K1897" s="792"/>
      <c r="L1897" s="812"/>
      <c r="M1897" s="792">
        <f t="shared" si="166"/>
        <v>0</v>
      </c>
      <c r="N1897" s="812"/>
      <c r="O1897" s="792">
        <f t="shared" si="167"/>
        <v>0</v>
      </c>
      <c r="P1897" s="792">
        <f t="shared" si="168"/>
        <v>0</v>
      </c>
    </row>
    <row r="1898" spans="3:16">
      <c r="C1898" s="788">
        <f>IF(D1835="","-",+C1897+1)</f>
        <v>2074</v>
      </c>
      <c r="D1898" s="736">
        <f t="shared" si="169"/>
        <v>0</v>
      </c>
      <c r="E1898" s="789">
        <f t="shared" si="171"/>
        <v>0</v>
      </c>
      <c r="F1898" s="789">
        <f t="shared" si="165"/>
        <v>0</v>
      </c>
      <c r="G1898" s="736">
        <f t="shared" si="170"/>
        <v>0</v>
      </c>
      <c r="H1898" s="794">
        <f>+J1836*G1898+E1898</f>
        <v>0</v>
      </c>
      <c r="I1898" s="795">
        <f>+J1837*G1898+E1898</f>
        <v>0</v>
      </c>
      <c r="J1898" s="792">
        <f t="shared" si="172"/>
        <v>0</v>
      </c>
      <c r="K1898" s="792"/>
      <c r="L1898" s="812"/>
      <c r="M1898" s="792">
        <f t="shared" si="166"/>
        <v>0</v>
      </c>
      <c r="N1898" s="812"/>
      <c r="O1898" s="792">
        <f t="shared" si="167"/>
        <v>0</v>
      </c>
      <c r="P1898" s="792">
        <f t="shared" si="168"/>
        <v>0</v>
      </c>
    </row>
    <row r="1899" spans="3:16">
      <c r="C1899" s="788">
        <f>IF(D1835="","-",+C1898+1)</f>
        <v>2075</v>
      </c>
      <c r="D1899" s="736">
        <f t="shared" si="169"/>
        <v>0</v>
      </c>
      <c r="E1899" s="789">
        <f>IF(D1899&gt;$J$1055,$J$1055,D1899)</f>
        <v>0</v>
      </c>
      <c r="F1899" s="789">
        <f t="shared" si="165"/>
        <v>0</v>
      </c>
      <c r="G1899" s="736">
        <f t="shared" si="170"/>
        <v>0</v>
      </c>
      <c r="H1899" s="794">
        <f>+J1836*G1899+E1899</f>
        <v>0</v>
      </c>
      <c r="I1899" s="795">
        <f>+J1837*G1899+E1899</f>
        <v>0</v>
      </c>
      <c r="J1899" s="792">
        <f t="shared" si="172"/>
        <v>0</v>
      </c>
      <c r="K1899" s="792"/>
      <c r="L1899" s="812"/>
      <c r="M1899" s="792">
        <f t="shared" si="166"/>
        <v>0</v>
      </c>
      <c r="N1899" s="812"/>
      <c r="O1899" s="792">
        <f t="shared" si="167"/>
        <v>0</v>
      </c>
      <c r="P1899" s="792">
        <f t="shared" si="168"/>
        <v>0</v>
      </c>
    </row>
    <row r="1900" spans="3:16" ht="13.5" thickBot="1">
      <c r="C1900" s="798">
        <f>IF(D1835="","-",+C1899+1)</f>
        <v>2076</v>
      </c>
      <c r="D1900" s="799">
        <f t="shared" si="169"/>
        <v>0</v>
      </c>
      <c r="E1900" s="800">
        <f>IF(D1900&gt;$J$1055,$J$1055,D1900)</f>
        <v>0</v>
      </c>
      <c r="F1900" s="1322">
        <f t="shared" si="165"/>
        <v>0</v>
      </c>
      <c r="G1900" s="799">
        <f t="shared" si="170"/>
        <v>0</v>
      </c>
      <c r="H1900" s="801">
        <f>+J1836*G1900+E1900</f>
        <v>0</v>
      </c>
      <c r="I1900" s="801">
        <f>+J1837*G1900+E1900</f>
        <v>0</v>
      </c>
      <c r="J1900" s="802">
        <f t="shared" si="172"/>
        <v>0</v>
      </c>
      <c r="K1900" s="792"/>
      <c r="L1900" s="813"/>
      <c r="M1900" s="802">
        <f t="shared" si="166"/>
        <v>0</v>
      </c>
      <c r="N1900" s="813"/>
      <c r="O1900" s="802">
        <f t="shared" si="167"/>
        <v>0</v>
      </c>
      <c r="P1900" s="802">
        <f t="shared" si="168"/>
        <v>0</v>
      </c>
    </row>
    <row r="1901" spans="3:16">
      <c r="C1901" s="736" t="s">
        <v>83</v>
      </c>
      <c r="D1901" s="730"/>
      <c r="E1901" s="730">
        <f>SUM(E1841:E1900)</f>
        <v>2647880.44</v>
      </c>
      <c r="F1901" s="730"/>
      <c r="G1901" s="730"/>
      <c r="H1901" s="730">
        <f>SUM(H1841:H1900)</f>
        <v>9726514.5613624565</v>
      </c>
      <c r="I1901" s="730">
        <f>SUM(I1841:I1900)</f>
        <v>9726514.5613624565</v>
      </c>
      <c r="J1901" s="730">
        <f>SUM(J1841:J1900)</f>
        <v>0</v>
      </c>
      <c r="K1901" s="730"/>
      <c r="L1901" s="730"/>
      <c r="M1901" s="730"/>
      <c r="N1901" s="730"/>
      <c r="O1901" s="730"/>
    </row>
    <row r="1902" spans="3:16">
      <c r="D1902" s="538"/>
      <c r="E1902" s="313"/>
      <c r="F1902" s="313"/>
      <c r="G1902" s="313"/>
      <c r="H1902" s="313"/>
      <c r="I1902" s="708"/>
      <c r="J1902" s="708"/>
      <c r="K1902" s="730"/>
      <c r="L1902" s="708"/>
      <c r="M1902" s="708"/>
      <c r="N1902" s="708"/>
      <c r="O1902" s="708"/>
    </row>
    <row r="1903" spans="3:16">
      <c r="C1903" s="313" t="s">
        <v>13</v>
      </c>
      <c r="D1903" s="538"/>
      <c r="E1903" s="313"/>
      <c r="F1903" s="313"/>
      <c r="G1903" s="313"/>
      <c r="H1903" s="313"/>
      <c r="I1903" s="708"/>
      <c r="J1903" s="708"/>
      <c r="K1903" s="730"/>
      <c r="L1903" s="708"/>
      <c r="M1903" s="708"/>
      <c r="N1903" s="708"/>
      <c r="O1903" s="708"/>
    </row>
    <row r="1904" spans="3:16">
      <c r="C1904" s="313"/>
      <c r="D1904" s="538"/>
      <c r="E1904" s="313"/>
      <c r="F1904" s="313"/>
      <c r="G1904" s="313"/>
      <c r="H1904" s="313"/>
      <c r="I1904" s="708"/>
      <c r="J1904" s="708"/>
      <c r="K1904" s="730"/>
      <c r="L1904" s="708"/>
      <c r="M1904" s="708"/>
      <c r="N1904" s="708"/>
      <c r="O1904" s="708"/>
    </row>
    <row r="1905" spans="1:16">
      <c r="C1905" s="749" t="s">
        <v>14</v>
      </c>
      <c r="D1905" s="736"/>
      <c r="E1905" s="736"/>
      <c r="F1905" s="736"/>
      <c r="G1905" s="736"/>
      <c r="H1905" s="730"/>
      <c r="I1905" s="730"/>
      <c r="J1905" s="804"/>
      <c r="K1905" s="804"/>
      <c r="L1905" s="804"/>
      <c r="M1905" s="804"/>
      <c r="N1905" s="804"/>
      <c r="O1905" s="804"/>
    </row>
    <row r="1906" spans="1:16">
      <c r="C1906" s="735" t="s">
        <v>263</v>
      </c>
      <c r="D1906" s="736"/>
      <c r="E1906" s="736"/>
      <c r="F1906" s="736"/>
      <c r="G1906" s="736"/>
      <c r="H1906" s="730"/>
      <c r="I1906" s="730"/>
      <c r="J1906" s="804"/>
      <c r="K1906" s="804"/>
      <c r="L1906" s="804"/>
      <c r="M1906" s="804"/>
      <c r="N1906" s="804"/>
      <c r="O1906" s="804"/>
    </row>
    <row r="1907" spans="1:16">
      <c r="C1907" s="735" t="s">
        <v>84</v>
      </c>
      <c r="D1907" s="736"/>
      <c r="E1907" s="736"/>
      <c r="F1907" s="736"/>
      <c r="G1907" s="736"/>
      <c r="H1907" s="730"/>
      <c r="I1907" s="730"/>
      <c r="J1907" s="804"/>
      <c r="K1907" s="804"/>
      <c r="L1907" s="804"/>
      <c r="M1907" s="804"/>
      <c r="N1907" s="804"/>
      <c r="O1907" s="804"/>
    </row>
    <row r="1909" spans="1:16" ht="20.25">
      <c r="A1909" s="737" t="str">
        <f>""&amp;A1833&amp;" Worksheet K -  ATRR TRUE-UP Calculation for PJM Projects Charged to Benefiting Zones"</f>
        <v xml:space="preserve"> Worksheet K -  ATRR TRUE-UP Calculation for PJM Projects Charged to Benefiting Zones</v>
      </c>
      <c r="B1909" s="347"/>
      <c r="C1909" s="725"/>
      <c r="D1909" s="538"/>
      <c r="E1909" s="313"/>
      <c r="F1909" s="707"/>
      <c r="G1909" s="707"/>
      <c r="H1909" s="313"/>
      <c r="I1909" s="708"/>
      <c r="L1909" s="564"/>
      <c r="M1909" s="564"/>
      <c r="N1909" s="564"/>
      <c r="O1909" s="653" t="str">
        <f>"Page "&amp;SUM(Q$8:Q1909)&amp;" of "</f>
        <v xml:space="preserve">Page 22 of </v>
      </c>
      <c r="P1909" s="654">
        <f>COUNT(Q$8:Q$57703)</f>
        <v>22</v>
      </c>
    </row>
    <row r="1910" spans="1:16">
      <c r="B1910" s="347"/>
      <c r="C1910" s="313"/>
      <c r="D1910" s="538"/>
      <c r="E1910" s="313"/>
      <c r="F1910" s="313"/>
      <c r="G1910" s="313"/>
      <c r="H1910" s="313"/>
      <c r="I1910" s="708"/>
      <c r="J1910" s="313"/>
      <c r="K1910" s="426"/>
    </row>
    <row r="1911" spans="1:16" ht="18">
      <c r="B1911" s="657" t="s">
        <v>466</v>
      </c>
      <c r="C1911" s="739" t="s">
        <v>85</v>
      </c>
      <c r="D1911" s="538"/>
      <c r="E1911" s="313"/>
      <c r="F1911" s="313"/>
      <c r="G1911" s="313"/>
      <c r="H1911" s="313"/>
      <c r="I1911" s="708"/>
      <c r="J1911" s="708"/>
      <c r="K1911" s="730"/>
      <c r="L1911" s="708"/>
      <c r="M1911" s="708"/>
      <c r="N1911" s="708"/>
      <c r="O1911" s="708"/>
    </row>
    <row r="1912" spans="1:16" ht="18.75">
      <c r="B1912" s="657"/>
      <c r="C1912" s="656"/>
      <c r="D1912" s="538"/>
      <c r="E1912" s="313"/>
      <c r="F1912" s="313"/>
      <c r="G1912" s="313"/>
      <c r="H1912" s="313"/>
      <c r="I1912" s="708"/>
      <c r="J1912" s="708"/>
      <c r="K1912" s="730"/>
      <c r="L1912" s="708"/>
      <c r="M1912" s="708"/>
      <c r="N1912" s="708"/>
      <c r="O1912" s="708"/>
    </row>
    <row r="1913" spans="1:16" ht="18.75">
      <c r="B1913" s="657"/>
      <c r="C1913" s="656" t="s">
        <v>86</v>
      </c>
      <c r="D1913" s="538"/>
      <c r="E1913" s="313"/>
      <c r="F1913" s="313"/>
      <c r="G1913" s="313"/>
      <c r="H1913" s="313"/>
      <c r="I1913" s="708"/>
      <c r="J1913" s="708"/>
      <c r="K1913" s="730"/>
      <c r="L1913" s="708"/>
      <c r="M1913" s="708"/>
      <c r="N1913" s="708"/>
      <c r="O1913" s="708"/>
    </row>
    <row r="1914" spans="1:16" ht="15.75" thickBot="1">
      <c r="C1914" s="239"/>
      <c r="D1914" s="538"/>
      <c r="E1914" s="313"/>
      <c r="F1914" s="313"/>
      <c r="G1914" s="313"/>
      <c r="H1914" s="313"/>
      <c r="I1914" s="708"/>
      <c r="J1914" s="708"/>
      <c r="K1914" s="730"/>
      <c r="L1914" s="708"/>
      <c r="M1914" s="708"/>
      <c r="N1914" s="708"/>
      <c r="O1914" s="708"/>
    </row>
    <row r="1915" spans="1:16" ht="15.75">
      <c r="C1915" s="659" t="s">
        <v>87</v>
      </c>
      <c r="D1915" s="538"/>
      <c r="E1915" s="313"/>
      <c r="F1915" s="313"/>
      <c r="G1915" s="313"/>
      <c r="H1915" s="806"/>
      <c r="I1915" s="313" t="s">
        <v>66</v>
      </c>
      <c r="J1915" s="313"/>
      <c r="K1915" s="426"/>
      <c r="L1915" s="835">
        <f>+J1921</f>
        <v>2023</v>
      </c>
      <c r="M1915" s="816" t="s">
        <v>45</v>
      </c>
      <c r="N1915" s="816" t="s">
        <v>46</v>
      </c>
      <c r="O1915" s="817" t="s">
        <v>47</v>
      </c>
    </row>
    <row r="1916" spans="1:16" ht="15.75">
      <c r="C1916" s="659"/>
      <c r="D1916" s="538"/>
      <c r="E1916" s="313"/>
      <c r="F1916" s="313"/>
      <c r="H1916" s="313"/>
      <c r="I1916" s="744"/>
      <c r="J1916" s="744"/>
      <c r="K1916" s="745"/>
      <c r="L1916" s="836" t="s">
        <v>235</v>
      </c>
      <c r="M1916" s="837">
        <f>VLOOKUP(J1921,C1928:P1987,10)</f>
        <v>3316363.7828822671</v>
      </c>
      <c r="N1916" s="837">
        <f>VLOOKUP(J1921,C1928:P1987,12)</f>
        <v>3316363.7828822671</v>
      </c>
      <c r="O1916" s="838">
        <f>+N1916-M1916</f>
        <v>0</v>
      </c>
    </row>
    <row r="1917" spans="1:16" ht="12.75" customHeight="1">
      <c r="C1917" s="749" t="s">
        <v>88</v>
      </c>
      <c r="D1917" s="1537" t="s">
        <v>838</v>
      </c>
      <c r="E1917" s="1537"/>
      <c r="F1917" s="1537"/>
      <c r="G1917" s="1537"/>
      <c r="H1917" s="1537"/>
      <c r="I1917" s="1537"/>
      <c r="J1917" s="708"/>
      <c r="K1917" s="730"/>
      <c r="L1917" s="836" t="s">
        <v>236</v>
      </c>
      <c r="M1917" s="839">
        <f>VLOOKUP(J1921,C1928:P1987,6)</f>
        <v>3181154.8099784409</v>
      </c>
      <c r="N1917" s="839">
        <f>VLOOKUP(J1921,C1928:P1987,7)</f>
        <v>3181154.8099784409</v>
      </c>
      <c r="O1917" s="840">
        <f>+N1917-M1917</f>
        <v>0</v>
      </c>
    </row>
    <row r="1918" spans="1:16" ht="13.5" thickBot="1">
      <c r="C1918" s="753"/>
      <c r="D1918" s="1537" t="s">
        <v>408</v>
      </c>
      <c r="E1918" s="1537"/>
      <c r="F1918" s="1537"/>
      <c r="G1918" s="1537"/>
      <c r="H1918" s="1537"/>
      <c r="I1918" s="1537"/>
      <c r="J1918" s="708"/>
      <c r="K1918" s="730"/>
      <c r="L1918" s="772" t="s">
        <v>237</v>
      </c>
      <c r="M1918" s="841">
        <f>+M1917-M1916</f>
        <v>-135208.97290382627</v>
      </c>
      <c r="N1918" s="841">
        <f>+N1917-N1916</f>
        <v>-135208.97290382627</v>
      </c>
      <c r="O1918" s="842">
        <f>+O1917-O1916</f>
        <v>0</v>
      </c>
    </row>
    <row r="1919" spans="1:16" ht="13.5" thickBot="1">
      <c r="C1919" s="756"/>
      <c r="D1919" s="757"/>
      <c r="E1919" s="755"/>
      <c r="F1919" s="755"/>
      <c r="G1919" s="755"/>
      <c r="H1919" s="755"/>
      <c r="I1919" s="755"/>
      <c r="J1919" s="755"/>
      <c r="K1919" s="758"/>
      <c r="L1919" s="755"/>
      <c r="M1919" s="755"/>
      <c r="N1919" s="755"/>
      <c r="O1919" s="755"/>
      <c r="P1919" s="347"/>
    </row>
    <row r="1920" spans="1:16" ht="13.5" thickBot="1">
      <c r="C1920" s="759" t="s">
        <v>89</v>
      </c>
      <c r="D1920" s="760"/>
      <c r="E1920" s="760"/>
      <c r="F1920" s="760"/>
      <c r="G1920" s="760"/>
      <c r="H1920" s="760"/>
      <c r="I1920" s="760"/>
      <c r="J1920" s="760"/>
      <c r="K1920" s="762"/>
      <c r="P1920" s="763"/>
    </row>
    <row r="1921" spans="2:16" ht="15">
      <c r="C1921" s="764" t="s">
        <v>67</v>
      </c>
      <c r="D1921" s="1291">
        <v>20319008</v>
      </c>
      <c r="E1921" s="725" t="s">
        <v>68</v>
      </c>
      <c r="H1921" s="765"/>
      <c r="I1921" s="765"/>
      <c r="J1921" s="766">
        <f>$J$93</f>
        <v>2023</v>
      </c>
      <c r="K1921" s="554"/>
      <c r="L1921" s="1536" t="s">
        <v>69</v>
      </c>
      <c r="M1921" s="1536"/>
      <c r="N1921" s="1536"/>
      <c r="O1921" s="1536"/>
      <c r="P1921" s="426"/>
    </row>
    <row r="1922" spans="2:16">
      <c r="C1922" s="764" t="s">
        <v>70</v>
      </c>
      <c r="D1922" s="1403">
        <v>2019</v>
      </c>
      <c r="E1922" s="764" t="s">
        <v>71</v>
      </c>
      <c r="F1922" s="765"/>
      <c r="G1922" s="765"/>
      <c r="I1922" s="172"/>
      <c r="J1922" s="810">
        <f>IF(H1915="",0,$F$17)</f>
        <v>0</v>
      </c>
      <c r="K1922" s="767"/>
      <c r="L1922" s="730" t="s">
        <v>277</v>
      </c>
      <c r="P1922" s="426"/>
    </row>
    <row r="1923" spans="2:16">
      <c r="C1923" s="764" t="s">
        <v>72</v>
      </c>
      <c r="D1923" s="1291">
        <v>6</v>
      </c>
      <c r="E1923" s="764" t="s">
        <v>73</v>
      </c>
      <c r="F1923" s="765"/>
      <c r="G1923" s="765"/>
      <c r="I1923" s="172"/>
      <c r="J1923" s="768">
        <f>$F$70</f>
        <v>0.14450383244078713</v>
      </c>
      <c r="K1923" s="769"/>
      <c r="L1923" s="313" t="str">
        <f>"          INPUT TRUE-UP ARR (WITH &amp; WITHOUT INCENTIVES) FROM EACH PRIOR YEAR"</f>
        <v xml:space="preserve">          INPUT TRUE-UP ARR (WITH &amp; WITHOUT INCENTIVES) FROM EACH PRIOR YEAR</v>
      </c>
      <c r="P1923" s="426"/>
    </row>
    <row r="1924" spans="2:16">
      <c r="C1924" s="764" t="s">
        <v>74</v>
      </c>
      <c r="D1924" s="770">
        <f>H$79</f>
        <v>35</v>
      </c>
      <c r="E1924" s="764" t="s">
        <v>75</v>
      </c>
      <c r="F1924" s="765"/>
      <c r="G1924" s="765"/>
      <c r="I1924" s="172"/>
      <c r="J1924" s="768">
        <f>IF(H1915="",+J1923,$F$69)</f>
        <v>0.14450383244078713</v>
      </c>
      <c r="K1924" s="771"/>
      <c r="L1924" s="313" t="s">
        <v>157</v>
      </c>
      <c r="M1924" s="771"/>
      <c r="N1924" s="771"/>
      <c r="O1924" s="771"/>
      <c r="P1924" s="426"/>
    </row>
    <row r="1925" spans="2:16" ht="13.5" thickBot="1">
      <c r="C1925" s="764" t="s">
        <v>76</v>
      </c>
      <c r="D1925" s="807" t="s">
        <v>808</v>
      </c>
      <c r="E1925" s="772" t="s">
        <v>77</v>
      </c>
      <c r="F1925" s="773"/>
      <c r="G1925" s="773"/>
      <c r="H1925" s="774"/>
      <c r="I1925" s="774"/>
      <c r="J1925" s="752">
        <f>IF(D1921=0,0,D1921/D1924)</f>
        <v>580543.08571428573</v>
      </c>
      <c r="K1925" s="730"/>
      <c r="L1925" s="730" t="s">
        <v>158</v>
      </c>
      <c r="M1925" s="730"/>
      <c r="N1925" s="730"/>
      <c r="O1925" s="730"/>
      <c r="P1925" s="426"/>
    </row>
    <row r="1926" spans="2:16" ht="38.25">
      <c r="B1926" s="845"/>
      <c r="C1926" s="775" t="s">
        <v>67</v>
      </c>
      <c r="D1926" s="776" t="s">
        <v>78</v>
      </c>
      <c r="E1926" s="777" t="s">
        <v>79</v>
      </c>
      <c r="F1926" s="776" t="s">
        <v>80</v>
      </c>
      <c r="G1926" s="776" t="s">
        <v>238</v>
      </c>
      <c r="H1926" s="777" t="s">
        <v>151</v>
      </c>
      <c r="I1926" s="778" t="s">
        <v>151</v>
      </c>
      <c r="J1926" s="775" t="s">
        <v>90</v>
      </c>
      <c r="K1926" s="779"/>
      <c r="L1926" s="777" t="s">
        <v>153</v>
      </c>
      <c r="M1926" s="777" t="s">
        <v>159</v>
      </c>
      <c r="N1926" s="777" t="s">
        <v>153</v>
      </c>
      <c r="O1926" s="777" t="s">
        <v>161</v>
      </c>
      <c r="P1926" s="777" t="s">
        <v>81</v>
      </c>
    </row>
    <row r="1927" spans="2:16" ht="13.5" thickBot="1">
      <c r="C1927" s="781" t="s">
        <v>469</v>
      </c>
      <c r="D1927" s="782" t="s">
        <v>470</v>
      </c>
      <c r="E1927" s="781" t="s">
        <v>363</v>
      </c>
      <c r="F1927" s="782" t="s">
        <v>470</v>
      </c>
      <c r="G1927" s="782" t="s">
        <v>470</v>
      </c>
      <c r="H1927" s="783" t="s">
        <v>93</v>
      </c>
      <c r="I1927" s="784" t="s">
        <v>95</v>
      </c>
      <c r="J1927" s="785" t="s">
        <v>15</v>
      </c>
      <c r="K1927" s="786"/>
      <c r="L1927" s="783" t="s">
        <v>82</v>
      </c>
      <c r="M1927" s="783" t="s">
        <v>82</v>
      </c>
      <c r="N1927" s="783" t="s">
        <v>255</v>
      </c>
      <c r="O1927" s="783" t="s">
        <v>255</v>
      </c>
      <c r="P1927" s="783" t="s">
        <v>255</v>
      </c>
    </row>
    <row r="1928" spans="2:16">
      <c r="C1928" s="788">
        <f>IF(D1922= "","-",D1922)</f>
        <v>2019</v>
      </c>
      <c r="D1928" s="736">
        <f>+D1921</f>
        <v>20319008</v>
      </c>
      <c r="E1928" s="794">
        <f>+J1925/12*(12-D1923)</f>
        <v>290271.54285714286</v>
      </c>
      <c r="F1928" s="843">
        <f t="shared" ref="F1928:F1987" si="173">+D1928-E1928</f>
        <v>20028736.457142856</v>
      </c>
      <c r="G1928" s="736">
        <f>+(D1928+F1928)/2</f>
        <v>20173872.22857143</v>
      </c>
      <c r="H1928" s="790">
        <f>+J1923*G1928+E1928</f>
        <v>3205473.3950564777</v>
      </c>
      <c r="I1928" s="791">
        <f>+J1924*G1928+E1928</f>
        <v>3205473.3950564777</v>
      </c>
      <c r="J1928" s="792">
        <f>+I1928-H1928</f>
        <v>0</v>
      </c>
      <c r="K1928" s="792"/>
      <c r="L1928" s="811">
        <v>355700.30305717891</v>
      </c>
      <c r="M1928" s="844">
        <f t="shared" ref="M1928:M1987" si="174">IF(L1928&lt;&gt;0,+H1928-L1928,0)</f>
        <v>2849773.0919992989</v>
      </c>
      <c r="N1928" s="811">
        <v>355700.30305717891</v>
      </c>
      <c r="O1928" s="844">
        <f t="shared" ref="O1928:O1987" si="175">IF(N1928&lt;&gt;0,+I1928-N1928,0)</f>
        <v>2849773.0919992989</v>
      </c>
      <c r="P1928" s="844">
        <f t="shared" ref="P1928:P1987" si="176">+O1928-M1928</f>
        <v>0</v>
      </c>
    </row>
    <row r="1929" spans="2:16">
      <c r="C1929" s="788">
        <f>IF(D1922="","-",+C1928+1)</f>
        <v>2020</v>
      </c>
      <c r="D1929" s="1402">
        <f t="shared" ref="D1929:D1987" si="177">F1928</f>
        <v>20028736.457142856</v>
      </c>
      <c r="E1929" s="789">
        <f>IF(D1929&gt;$J$1925,$J$1925,D1929)</f>
        <v>580543.08571428573</v>
      </c>
      <c r="F1929" s="789">
        <f t="shared" si="173"/>
        <v>19448193.371428572</v>
      </c>
      <c r="G1929" s="736">
        <f t="shared" ref="G1929:G1987" si="178">+(D1929+F1929)/2</f>
        <v>19738464.914285712</v>
      </c>
      <c r="H1929" s="794">
        <f>+J1923*G1929+E1929</f>
        <v>3432826.9123265841</v>
      </c>
      <c r="I1929" s="795">
        <f>+J1924*G1929+E1929</f>
        <v>3432826.9123265841</v>
      </c>
      <c r="J1929" s="792">
        <f>+I1929-H1929</f>
        <v>0</v>
      </c>
      <c r="K1929" s="792"/>
      <c r="L1929" s="812">
        <v>269767.75523683982</v>
      </c>
      <c r="M1929" s="792">
        <f t="shared" si="174"/>
        <v>3163059.1570897442</v>
      </c>
      <c r="N1929" s="812">
        <v>269767.75523683982</v>
      </c>
      <c r="O1929" s="792">
        <f t="shared" si="175"/>
        <v>3163059.1570897442</v>
      </c>
      <c r="P1929" s="792">
        <f t="shared" si="176"/>
        <v>0</v>
      </c>
    </row>
    <row r="1930" spans="2:16">
      <c r="C1930" s="788">
        <f>IF(D1922="","-",+C1929+1)</f>
        <v>2021</v>
      </c>
      <c r="D1930" s="736">
        <f t="shared" si="177"/>
        <v>19448193.371428572</v>
      </c>
      <c r="E1930" s="789">
        <f t="shared" ref="E1930:E1987" si="179">IF(D1930&gt;$J$1925,$J$1925,D1930)</f>
        <v>580543.08571428573</v>
      </c>
      <c r="F1930" s="789">
        <f t="shared" si="173"/>
        <v>18867650.285714287</v>
      </c>
      <c r="G1930" s="736">
        <f t="shared" si="178"/>
        <v>19157921.828571431</v>
      </c>
      <c r="H1930" s="794">
        <f>+J1923*G1930+E1930</f>
        <v>3348936.2115438702</v>
      </c>
      <c r="I1930" s="795">
        <f>+J1924*G1930+E1930</f>
        <v>3348936.2115438702</v>
      </c>
      <c r="J1930" s="792">
        <f t="shared" ref="J1930:J1987" si="180">+I1930-H1930</f>
        <v>0</v>
      </c>
      <c r="K1930" s="792"/>
      <c r="L1930" s="812">
        <v>2933749.2079076325</v>
      </c>
      <c r="M1930" s="792">
        <f t="shared" si="174"/>
        <v>415187.0036362377</v>
      </c>
      <c r="N1930" s="812">
        <v>2933749.2079076325</v>
      </c>
      <c r="O1930" s="792">
        <f t="shared" si="175"/>
        <v>415187.0036362377</v>
      </c>
      <c r="P1930" s="792">
        <f t="shared" si="176"/>
        <v>0</v>
      </c>
    </row>
    <row r="1931" spans="2:16">
      <c r="C1931" s="788">
        <f>IF(D1922="","-",+C1930+1)</f>
        <v>2022</v>
      </c>
      <c r="D1931" s="1321">
        <f t="shared" si="177"/>
        <v>18867650.285714287</v>
      </c>
      <c r="E1931" s="789">
        <f t="shared" si="179"/>
        <v>580543.08571428573</v>
      </c>
      <c r="F1931" s="789">
        <f t="shared" si="173"/>
        <v>18287107.200000003</v>
      </c>
      <c r="G1931" s="736">
        <f t="shared" si="178"/>
        <v>18577378.742857143</v>
      </c>
      <c r="H1931" s="794">
        <f>+J1923*G1931+E1931</f>
        <v>3265045.5107611548</v>
      </c>
      <c r="I1931" s="795">
        <f>+J1924*G1931+E1931</f>
        <v>3265045.5107611548</v>
      </c>
      <c r="J1931" s="792">
        <f t="shared" si="180"/>
        <v>0</v>
      </c>
      <c r="K1931" s="792"/>
      <c r="L1931" s="812">
        <v>3187129.3575019073</v>
      </c>
      <c r="M1931" s="792">
        <f t="shared" si="174"/>
        <v>77916.153259247541</v>
      </c>
      <c r="N1931" s="812">
        <v>3187129.3575019073</v>
      </c>
      <c r="O1931" s="792">
        <f t="shared" si="175"/>
        <v>77916.153259247541</v>
      </c>
      <c r="P1931" s="792">
        <f t="shared" si="176"/>
        <v>0</v>
      </c>
    </row>
    <row r="1932" spans="2:16">
      <c r="C1932" s="788">
        <f>IF(D1922="","-",+C1931+1)</f>
        <v>2023</v>
      </c>
      <c r="D1932" s="1321">
        <f t="shared" si="177"/>
        <v>18287107.200000003</v>
      </c>
      <c r="E1932" s="789">
        <f t="shared" si="179"/>
        <v>580543.08571428573</v>
      </c>
      <c r="F1932" s="789">
        <f t="shared" si="173"/>
        <v>17706564.114285719</v>
      </c>
      <c r="G1932" s="736">
        <f t="shared" si="178"/>
        <v>17996835.657142863</v>
      </c>
      <c r="H1932" s="794">
        <f>+J1923*G1932+E1932</f>
        <v>3181154.8099784409</v>
      </c>
      <c r="I1932" s="795">
        <f>+J1924*G1932+E1932</f>
        <v>3181154.8099784409</v>
      </c>
      <c r="J1932" s="792">
        <f t="shared" si="180"/>
        <v>0</v>
      </c>
      <c r="K1932" s="792"/>
      <c r="L1932" s="812">
        <v>3316363.7828822671</v>
      </c>
      <c r="M1932" s="792">
        <f t="shared" si="174"/>
        <v>-135208.97290382627</v>
      </c>
      <c r="N1932" s="812">
        <v>3316363.7828822671</v>
      </c>
      <c r="O1932" s="792">
        <f t="shared" si="175"/>
        <v>-135208.97290382627</v>
      </c>
      <c r="P1932" s="792">
        <f t="shared" si="176"/>
        <v>0</v>
      </c>
    </row>
    <row r="1933" spans="2:16">
      <c r="C1933" s="788">
        <f>IF(D1922="","-",+C1932+1)</f>
        <v>2024</v>
      </c>
      <c r="D1933" s="1321">
        <f t="shared" si="177"/>
        <v>17706564.114285719</v>
      </c>
      <c r="E1933" s="789">
        <f t="shared" si="179"/>
        <v>580543.08571428573</v>
      </c>
      <c r="F1933" s="789">
        <f t="shared" si="173"/>
        <v>17126021.028571434</v>
      </c>
      <c r="G1933" s="736">
        <f t="shared" si="178"/>
        <v>17416292.571428575</v>
      </c>
      <c r="H1933" s="794">
        <f>+J1923*G1933+E1933</f>
        <v>3097264.109195726</v>
      </c>
      <c r="I1933" s="795">
        <f>+J1924*G1933+E1933</f>
        <v>3097264.109195726</v>
      </c>
      <c r="J1933" s="792">
        <f t="shared" si="180"/>
        <v>0</v>
      </c>
      <c r="K1933" s="792"/>
      <c r="L1933" s="812"/>
      <c r="M1933" s="792">
        <f t="shared" si="174"/>
        <v>0</v>
      </c>
      <c r="N1933" s="812"/>
      <c r="O1933" s="792">
        <f t="shared" si="175"/>
        <v>0</v>
      </c>
      <c r="P1933" s="792">
        <f t="shared" si="176"/>
        <v>0</v>
      </c>
    </row>
    <row r="1934" spans="2:16">
      <c r="C1934" s="788">
        <f>IF(D1922="","-",+C1933+1)</f>
        <v>2025</v>
      </c>
      <c r="D1934" s="1321">
        <f t="shared" si="177"/>
        <v>17126021.028571434</v>
      </c>
      <c r="E1934" s="789">
        <f t="shared" si="179"/>
        <v>580543.08571428573</v>
      </c>
      <c r="F1934" s="789">
        <f t="shared" si="173"/>
        <v>16545477.942857148</v>
      </c>
      <c r="G1934" s="736">
        <f t="shared" si="178"/>
        <v>16835749.48571429</v>
      </c>
      <c r="H1934" s="794">
        <f>+J1923*G1934+E1934</f>
        <v>3013373.4084130116</v>
      </c>
      <c r="I1934" s="795">
        <f>+J1924*G1934+E1934</f>
        <v>3013373.4084130116</v>
      </c>
      <c r="J1934" s="792">
        <f t="shared" si="180"/>
        <v>0</v>
      </c>
      <c r="K1934" s="792"/>
      <c r="L1934" s="812"/>
      <c r="M1934" s="792">
        <f t="shared" si="174"/>
        <v>0</v>
      </c>
      <c r="N1934" s="812"/>
      <c r="O1934" s="792">
        <f t="shared" si="175"/>
        <v>0</v>
      </c>
      <c r="P1934" s="792">
        <f t="shared" si="176"/>
        <v>0</v>
      </c>
    </row>
    <row r="1935" spans="2:16">
      <c r="C1935" s="788">
        <f>IF(D1922="","-",+C1934+1)</f>
        <v>2026</v>
      </c>
      <c r="D1935" s="1321">
        <f t="shared" si="177"/>
        <v>16545477.942857148</v>
      </c>
      <c r="E1935" s="789">
        <f t="shared" si="179"/>
        <v>580543.08571428573</v>
      </c>
      <c r="F1935" s="789">
        <f t="shared" si="173"/>
        <v>15964934.857142862</v>
      </c>
      <c r="G1935" s="736">
        <f t="shared" si="178"/>
        <v>16255206.400000006</v>
      </c>
      <c r="H1935" s="794">
        <f>+J1923*G1935+E1935</f>
        <v>2929482.7076302972</v>
      </c>
      <c r="I1935" s="795">
        <f>+J1924*G1935+E1935</f>
        <v>2929482.7076302972</v>
      </c>
      <c r="J1935" s="792">
        <f t="shared" si="180"/>
        <v>0</v>
      </c>
      <c r="K1935" s="792"/>
      <c r="L1935" s="812"/>
      <c r="M1935" s="792">
        <f t="shared" si="174"/>
        <v>0</v>
      </c>
      <c r="N1935" s="812"/>
      <c r="O1935" s="792">
        <f t="shared" si="175"/>
        <v>0</v>
      </c>
      <c r="P1935" s="792">
        <f t="shared" si="176"/>
        <v>0</v>
      </c>
    </row>
    <row r="1936" spans="2:16">
      <c r="C1936" s="788">
        <f>IF(D1922="","-",+C1935+1)</f>
        <v>2027</v>
      </c>
      <c r="D1936" s="736">
        <f t="shared" si="177"/>
        <v>15964934.857142862</v>
      </c>
      <c r="E1936" s="789">
        <f t="shared" si="179"/>
        <v>580543.08571428573</v>
      </c>
      <c r="F1936" s="789">
        <f t="shared" si="173"/>
        <v>15384391.771428576</v>
      </c>
      <c r="G1936" s="736">
        <f t="shared" si="178"/>
        <v>15674663.314285718</v>
      </c>
      <c r="H1936" s="794">
        <f>+J1923*G1936+E1936</f>
        <v>2845592.0068475823</v>
      </c>
      <c r="I1936" s="795">
        <f>+J1924*G1936+E1936</f>
        <v>2845592.0068475823</v>
      </c>
      <c r="J1936" s="792">
        <f t="shared" si="180"/>
        <v>0</v>
      </c>
      <c r="K1936" s="792"/>
      <c r="L1936" s="812"/>
      <c r="M1936" s="792">
        <f t="shared" si="174"/>
        <v>0</v>
      </c>
      <c r="N1936" s="812"/>
      <c r="O1936" s="792">
        <f t="shared" si="175"/>
        <v>0</v>
      </c>
      <c r="P1936" s="792">
        <f t="shared" si="176"/>
        <v>0</v>
      </c>
    </row>
    <row r="1937" spans="3:16">
      <c r="C1937" s="788">
        <f>IF(D1922="","-",+C1936+1)</f>
        <v>2028</v>
      </c>
      <c r="D1937" s="736">
        <f t="shared" si="177"/>
        <v>15384391.771428576</v>
      </c>
      <c r="E1937" s="789">
        <f t="shared" si="179"/>
        <v>580543.08571428573</v>
      </c>
      <c r="F1937" s="789">
        <f t="shared" si="173"/>
        <v>14803848.68571429</v>
      </c>
      <c r="G1937" s="736">
        <f t="shared" si="178"/>
        <v>15094120.228571434</v>
      </c>
      <c r="H1937" s="794">
        <f>+J1923*G1937+E1937</f>
        <v>2761701.3060648679</v>
      </c>
      <c r="I1937" s="795">
        <f>+J1924*G1937+E1937</f>
        <v>2761701.3060648679</v>
      </c>
      <c r="J1937" s="792">
        <f t="shared" si="180"/>
        <v>0</v>
      </c>
      <c r="K1937" s="792"/>
      <c r="L1937" s="812"/>
      <c r="M1937" s="792">
        <f t="shared" si="174"/>
        <v>0</v>
      </c>
      <c r="N1937" s="812"/>
      <c r="O1937" s="792">
        <f t="shared" si="175"/>
        <v>0</v>
      </c>
      <c r="P1937" s="792">
        <f t="shared" si="176"/>
        <v>0</v>
      </c>
    </row>
    <row r="1938" spans="3:16">
      <c r="C1938" s="788">
        <f>IF(D1922="","-",+C1937+1)</f>
        <v>2029</v>
      </c>
      <c r="D1938" s="736">
        <f t="shared" si="177"/>
        <v>14803848.68571429</v>
      </c>
      <c r="E1938" s="789">
        <f t="shared" si="179"/>
        <v>580543.08571428573</v>
      </c>
      <c r="F1938" s="789">
        <f t="shared" si="173"/>
        <v>14223305.600000003</v>
      </c>
      <c r="G1938" s="736">
        <f t="shared" si="178"/>
        <v>14513577.142857146</v>
      </c>
      <c r="H1938" s="794">
        <f>+J1923*G1938+E1938</f>
        <v>2677810.6052821525</v>
      </c>
      <c r="I1938" s="795">
        <f>+J1924*G1938+E1938</f>
        <v>2677810.6052821525</v>
      </c>
      <c r="J1938" s="792">
        <f t="shared" si="180"/>
        <v>0</v>
      </c>
      <c r="K1938" s="792"/>
      <c r="L1938" s="812"/>
      <c r="M1938" s="792">
        <f t="shared" si="174"/>
        <v>0</v>
      </c>
      <c r="N1938" s="812"/>
      <c r="O1938" s="792">
        <f t="shared" si="175"/>
        <v>0</v>
      </c>
      <c r="P1938" s="792">
        <f t="shared" si="176"/>
        <v>0</v>
      </c>
    </row>
    <row r="1939" spans="3:16">
      <c r="C1939" s="788">
        <f>IF(D1922="","-",+C1938+1)</f>
        <v>2030</v>
      </c>
      <c r="D1939" s="736">
        <f t="shared" si="177"/>
        <v>14223305.600000003</v>
      </c>
      <c r="E1939" s="789">
        <f t="shared" si="179"/>
        <v>580543.08571428573</v>
      </c>
      <c r="F1939" s="789">
        <f t="shared" si="173"/>
        <v>13642762.514285717</v>
      </c>
      <c r="G1939" s="736">
        <f t="shared" si="178"/>
        <v>13933034.057142861</v>
      </c>
      <c r="H1939" s="794">
        <f>+J1923*G1939+E1939</f>
        <v>2593919.9044994381</v>
      </c>
      <c r="I1939" s="795">
        <f>+J1924*G1939+E1939</f>
        <v>2593919.9044994381</v>
      </c>
      <c r="J1939" s="792">
        <f t="shared" si="180"/>
        <v>0</v>
      </c>
      <c r="K1939" s="792"/>
      <c r="L1939" s="812"/>
      <c r="M1939" s="792">
        <f t="shared" si="174"/>
        <v>0</v>
      </c>
      <c r="N1939" s="812"/>
      <c r="O1939" s="792">
        <f t="shared" si="175"/>
        <v>0</v>
      </c>
      <c r="P1939" s="792">
        <f t="shared" si="176"/>
        <v>0</v>
      </c>
    </row>
    <row r="1940" spans="3:16">
      <c r="C1940" s="788">
        <f>IF(D1922="","-",+C1939+1)</f>
        <v>2031</v>
      </c>
      <c r="D1940" s="736">
        <f t="shared" si="177"/>
        <v>13642762.514285717</v>
      </c>
      <c r="E1940" s="789">
        <f t="shared" si="179"/>
        <v>580543.08571428573</v>
      </c>
      <c r="F1940" s="789">
        <f t="shared" si="173"/>
        <v>13062219.428571431</v>
      </c>
      <c r="G1940" s="736">
        <f t="shared" si="178"/>
        <v>13352490.971428573</v>
      </c>
      <c r="H1940" s="794">
        <f>+J1923*G1940+E1940</f>
        <v>2510029.2037167232</v>
      </c>
      <c r="I1940" s="795">
        <f>+J1924*G1940+E1940</f>
        <v>2510029.2037167232</v>
      </c>
      <c r="J1940" s="792">
        <f t="shared" si="180"/>
        <v>0</v>
      </c>
      <c r="K1940" s="792"/>
      <c r="L1940" s="812"/>
      <c r="M1940" s="792">
        <f t="shared" si="174"/>
        <v>0</v>
      </c>
      <c r="N1940" s="812"/>
      <c r="O1940" s="792">
        <f t="shared" si="175"/>
        <v>0</v>
      </c>
      <c r="P1940" s="792">
        <f t="shared" si="176"/>
        <v>0</v>
      </c>
    </row>
    <row r="1941" spans="3:16">
      <c r="C1941" s="788">
        <f>IF(D1922="","-",+C1940+1)</f>
        <v>2032</v>
      </c>
      <c r="D1941" s="736">
        <f t="shared" si="177"/>
        <v>13062219.428571431</v>
      </c>
      <c r="E1941" s="789">
        <f t="shared" si="179"/>
        <v>580543.08571428573</v>
      </c>
      <c r="F1941" s="789">
        <f t="shared" si="173"/>
        <v>12481676.342857145</v>
      </c>
      <c r="G1941" s="736">
        <f t="shared" si="178"/>
        <v>12771947.885714289</v>
      </c>
      <c r="H1941" s="794">
        <f>+J1923*G1941+E1941</f>
        <v>2426138.5029340088</v>
      </c>
      <c r="I1941" s="795">
        <f>+J1924*G1941+E1941</f>
        <v>2426138.5029340088</v>
      </c>
      <c r="J1941" s="792">
        <f t="shared" si="180"/>
        <v>0</v>
      </c>
      <c r="K1941" s="792"/>
      <c r="L1941" s="812"/>
      <c r="M1941" s="792">
        <f t="shared" si="174"/>
        <v>0</v>
      </c>
      <c r="N1941" s="812"/>
      <c r="O1941" s="792">
        <f t="shared" si="175"/>
        <v>0</v>
      </c>
      <c r="P1941" s="792">
        <f t="shared" si="176"/>
        <v>0</v>
      </c>
    </row>
    <row r="1942" spans="3:16">
      <c r="C1942" s="788">
        <f>IF(D1922="","-",+C1941+1)</f>
        <v>2033</v>
      </c>
      <c r="D1942" s="736">
        <f t="shared" si="177"/>
        <v>12481676.342857145</v>
      </c>
      <c r="E1942" s="789">
        <f t="shared" si="179"/>
        <v>580543.08571428573</v>
      </c>
      <c r="F1942" s="789">
        <f t="shared" si="173"/>
        <v>11901133.257142859</v>
      </c>
      <c r="G1942" s="736">
        <f t="shared" si="178"/>
        <v>12191404.800000001</v>
      </c>
      <c r="H1942" s="794">
        <f>+J1923*G1942+E1942</f>
        <v>2342247.8021512935</v>
      </c>
      <c r="I1942" s="795">
        <f>+J1924*G1942+E1942</f>
        <v>2342247.8021512935</v>
      </c>
      <c r="J1942" s="792">
        <f t="shared" si="180"/>
        <v>0</v>
      </c>
      <c r="K1942" s="792"/>
      <c r="L1942" s="812"/>
      <c r="M1942" s="792">
        <f t="shared" si="174"/>
        <v>0</v>
      </c>
      <c r="N1942" s="812"/>
      <c r="O1942" s="792">
        <f t="shared" si="175"/>
        <v>0</v>
      </c>
      <c r="P1942" s="792">
        <f t="shared" si="176"/>
        <v>0</v>
      </c>
    </row>
    <row r="1943" spans="3:16">
      <c r="C1943" s="788">
        <f>IF(D1922="","-",+C1942+1)</f>
        <v>2034</v>
      </c>
      <c r="D1943" s="736">
        <f t="shared" si="177"/>
        <v>11901133.257142859</v>
      </c>
      <c r="E1943" s="789">
        <f t="shared" si="179"/>
        <v>580543.08571428573</v>
      </c>
      <c r="F1943" s="789">
        <f t="shared" si="173"/>
        <v>11320590.171428572</v>
      </c>
      <c r="G1943" s="736">
        <f t="shared" si="178"/>
        <v>11610861.714285716</v>
      </c>
      <c r="H1943" s="794">
        <f>+J1923*G1943+E1943</f>
        <v>2258357.1013685791</v>
      </c>
      <c r="I1943" s="795">
        <f>+J1924*G1943+E1943</f>
        <v>2258357.1013685791</v>
      </c>
      <c r="J1943" s="792">
        <f t="shared" si="180"/>
        <v>0</v>
      </c>
      <c r="K1943" s="792"/>
      <c r="L1943" s="812"/>
      <c r="M1943" s="792">
        <f t="shared" si="174"/>
        <v>0</v>
      </c>
      <c r="N1943" s="812"/>
      <c r="O1943" s="792">
        <f t="shared" si="175"/>
        <v>0</v>
      </c>
      <c r="P1943" s="792">
        <f t="shared" si="176"/>
        <v>0</v>
      </c>
    </row>
    <row r="1944" spans="3:16">
      <c r="C1944" s="788">
        <f>IF(D1922="","-",+C1943+1)</f>
        <v>2035</v>
      </c>
      <c r="D1944" s="736">
        <f t="shared" si="177"/>
        <v>11320590.171428572</v>
      </c>
      <c r="E1944" s="789">
        <f t="shared" si="179"/>
        <v>580543.08571428573</v>
      </c>
      <c r="F1944" s="789">
        <f t="shared" si="173"/>
        <v>10740047.085714286</v>
      </c>
      <c r="G1944" s="736">
        <f t="shared" si="178"/>
        <v>11030318.628571428</v>
      </c>
      <c r="H1944" s="794">
        <f>+J1923*G1944+E1944</f>
        <v>2174466.4005858642</v>
      </c>
      <c r="I1944" s="795">
        <f>+J1924*G1944+E1944</f>
        <v>2174466.4005858642</v>
      </c>
      <c r="J1944" s="792">
        <f t="shared" si="180"/>
        <v>0</v>
      </c>
      <c r="K1944" s="792"/>
      <c r="L1944" s="812"/>
      <c r="M1944" s="792">
        <f t="shared" si="174"/>
        <v>0</v>
      </c>
      <c r="N1944" s="812"/>
      <c r="O1944" s="792">
        <f t="shared" si="175"/>
        <v>0</v>
      </c>
      <c r="P1944" s="792">
        <f t="shared" si="176"/>
        <v>0</v>
      </c>
    </row>
    <row r="1945" spans="3:16">
      <c r="C1945" s="788">
        <f>IF(D1922="","-",+C1944+1)</f>
        <v>2036</v>
      </c>
      <c r="D1945" s="736">
        <f t="shared" si="177"/>
        <v>10740047.085714286</v>
      </c>
      <c r="E1945" s="789">
        <f t="shared" si="179"/>
        <v>580543.08571428573</v>
      </c>
      <c r="F1945" s="789">
        <f t="shared" si="173"/>
        <v>10159504</v>
      </c>
      <c r="G1945" s="736">
        <f t="shared" si="178"/>
        <v>10449775.542857144</v>
      </c>
      <c r="H1945" s="794">
        <f>+J1923*G1945+E1945</f>
        <v>2090575.6998031498</v>
      </c>
      <c r="I1945" s="795">
        <f>+J1924*G1945+E1945</f>
        <v>2090575.6998031498</v>
      </c>
      <c r="J1945" s="792">
        <f t="shared" si="180"/>
        <v>0</v>
      </c>
      <c r="K1945" s="792"/>
      <c r="L1945" s="812"/>
      <c r="M1945" s="792">
        <f t="shared" si="174"/>
        <v>0</v>
      </c>
      <c r="N1945" s="812"/>
      <c r="O1945" s="792">
        <f t="shared" si="175"/>
        <v>0</v>
      </c>
      <c r="P1945" s="792">
        <f t="shared" si="176"/>
        <v>0</v>
      </c>
    </row>
    <row r="1946" spans="3:16">
      <c r="C1946" s="788">
        <f>IF(D1922="","-",+C1945+1)</f>
        <v>2037</v>
      </c>
      <c r="D1946" s="736">
        <f t="shared" si="177"/>
        <v>10159504</v>
      </c>
      <c r="E1946" s="789">
        <f t="shared" si="179"/>
        <v>580543.08571428573</v>
      </c>
      <c r="F1946" s="789">
        <f t="shared" si="173"/>
        <v>9578960.9142857138</v>
      </c>
      <c r="G1946" s="736">
        <f t="shared" si="178"/>
        <v>9869232.457142856</v>
      </c>
      <c r="H1946" s="794">
        <f>+J1923*G1946+E1946</f>
        <v>2006684.9990204349</v>
      </c>
      <c r="I1946" s="795">
        <f>+J1924*G1946+E1946</f>
        <v>2006684.9990204349</v>
      </c>
      <c r="J1946" s="792">
        <f t="shared" si="180"/>
        <v>0</v>
      </c>
      <c r="K1946" s="792"/>
      <c r="L1946" s="812"/>
      <c r="M1946" s="792">
        <f t="shared" si="174"/>
        <v>0</v>
      </c>
      <c r="N1946" s="812"/>
      <c r="O1946" s="792">
        <f t="shared" si="175"/>
        <v>0</v>
      </c>
      <c r="P1946" s="792">
        <f t="shared" si="176"/>
        <v>0</v>
      </c>
    </row>
    <row r="1947" spans="3:16">
      <c r="C1947" s="788">
        <f>IF(D1922="","-",+C1946+1)</f>
        <v>2038</v>
      </c>
      <c r="D1947" s="736">
        <f t="shared" si="177"/>
        <v>9578960.9142857138</v>
      </c>
      <c r="E1947" s="789">
        <f t="shared" si="179"/>
        <v>580543.08571428573</v>
      </c>
      <c r="F1947" s="789">
        <f t="shared" si="173"/>
        <v>8998417.8285714276</v>
      </c>
      <c r="G1947" s="736">
        <f t="shared" si="178"/>
        <v>9288689.3714285716</v>
      </c>
      <c r="H1947" s="794">
        <f>+J1923*G1947+E1947</f>
        <v>1922794.2982377203</v>
      </c>
      <c r="I1947" s="795">
        <f>+J1924*G1947+E1947</f>
        <v>1922794.2982377203</v>
      </c>
      <c r="J1947" s="792">
        <f t="shared" si="180"/>
        <v>0</v>
      </c>
      <c r="K1947" s="792"/>
      <c r="L1947" s="812"/>
      <c r="M1947" s="792">
        <f t="shared" si="174"/>
        <v>0</v>
      </c>
      <c r="N1947" s="812"/>
      <c r="O1947" s="792">
        <f t="shared" si="175"/>
        <v>0</v>
      </c>
      <c r="P1947" s="792">
        <f t="shared" si="176"/>
        <v>0</v>
      </c>
    </row>
    <row r="1948" spans="3:16">
      <c r="C1948" s="788">
        <f>IF(D1922="","-",+C1947+1)</f>
        <v>2039</v>
      </c>
      <c r="D1948" s="736">
        <f t="shared" si="177"/>
        <v>8998417.8285714276</v>
      </c>
      <c r="E1948" s="789">
        <f t="shared" si="179"/>
        <v>580543.08571428573</v>
      </c>
      <c r="F1948" s="789">
        <f t="shared" si="173"/>
        <v>8417874.7428571414</v>
      </c>
      <c r="G1948" s="736">
        <f t="shared" si="178"/>
        <v>8708146.2857142836</v>
      </c>
      <c r="H1948" s="794">
        <f>+J1923*G1948+E1948</f>
        <v>1838903.5974550054</v>
      </c>
      <c r="I1948" s="795">
        <f>+J1924*G1948+E1948</f>
        <v>1838903.5974550054</v>
      </c>
      <c r="J1948" s="792">
        <f t="shared" si="180"/>
        <v>0</v>
      </c>
      <c r="K1948" s="792"/>
      <c r="L1948" s="812"/>
      <c r="M1948" s="792">
        <f t="shared" si="174"/>
        <v>0</v>
      </c>
      <c r="N1948" s="812"/>
      <c r="O1948" s="792">
        <f t="shared" si="175"/>
        <v>0</v>
      </c>
      <c r="P1948" s="792">
        <f t="shared" si="176"/>
        <v>0</v>
      </c>
    </row>
    <row r="1949" spans="3:16">
      <c r="C1949" s="788">
        <f>IF(D1922="","-",+C1948+1)</f>
        <v>2040</v>
      </c>
      <c r="D1949" s="736">
        <f t="shared" si="177"/>
        <v>8417874.7428571414</v>
      </c>
      <c r="E1949" s="789">
        <f t="shared" si="179"/>
        <v>580543.08571428573</v>
      </c>
      <c r="F1949" s="789">
        <f t="shared" si="173"/>
        <v>7837331.6571428552</v>
      </c>
      <c r="G1949" s="736">
        <f t="shared" si="178"/>
        <v>8127603.1999999983</v>
      </c>
      <c r="H1949" s="794">
        <f>+J1923*G1949+E1949</f>
        <v>1755012.8966722907</v>
      </c>
      <c r="I1949" s="795">
        <f>+J1924*G1949+E1949</f>
        <v>1755012.8966722907</v>
      </c>
      <c r="J1949" s="792">
        <f t="shared" si="180"/>
        <v>0</v>
      </c>
      <c r="K1949" s="792"/>
      <c r="L1949" s="812"/>
      <c r="M1949" s="792">
        <f t="shared" si="174"/>
        <v>0</v>
      </c>
      <c r="N1949" s="812"/>
      <c r="O1949" s="792">
        <f t="shared" si="175"/>
        <v>0</v>
      </c>
      <c r="P1949" s="792">
        <f t="shared" si="176"/>
        <v>0</v>
      </c>
    </row>
    <row r="1950" spans="3:16">
      <c r="C1950" s="788">
        <f>IF(D1922="","-",+C1949+1)</f>
        <v>2041</v>
      </c>
      <c r="D1950" s="736">
        <f t="shared" si="177"/>
        <v>7837331.6571428552</v>
      </c>
      <c r="E1950" s="789">
        <f t="shared" si="179"/>
        <v>580543.08571428573</v>
      </c>
      <c r="F1950" s="789">
        <f t="shared" si="173"/>
        <v>7256788.571428569</v>
      </c>
      <c r="G1950" s="736">
        <f t="shared" si="178"/>
        <v>7547060.1142857121</v>
      </c>
      <c r="H1950" s="794">
        <f>+J1923*G1950+E1950</f>
        <v>1671122.1958895761</v>
      </c>
      <c r="I1950" s="795">
        <f>+J1924*G1950+E1950</f>
        <v>1671122.1958895761</v>
      </c>
      <c r="J1950" s="792">
        <f t="shared" si="180"/>
        <v>0</v>
      </c>
      <c r="K1950" s="792"/>
      <c r="L1950" s="812"/>
      <c r="M1950" s="792">
        <f t="shared" si="174"/>
        <v>0</v>
      </c>
      <c r="N1950" s="812"/>
      <c r="O1950" s="792">
        <f t="shared" si="175"/>
        <v>0</v>
      </c>
      <c r="P1950" s="792">
        <f t="shared" si="176"/>
        <v>0</v>
      </c>
    </row>
    <row r="1951" spans="3:16">
      <c r="C1951" s="788">
        <f>IF(D1922="","-",+C1950+1)</f>
        <v>2042</v>
      </c>
      <c r="D1951" s="736">
        <f t="shared" si="177"/>
        <v>7256788.571428569</v>
      </c>
      <c r="E1951" s="789">
        <f t="shared" si="179"/>
        <v>580543.08571428573</v>
      </c>
      <c r="F1951" s="789">
        <f t="shared" si="173"/>
        <v>6676245.4857142828</v>
      </c>
      <c r="G1951" s="736">
        <f t="shared" si="178"/>
        <v>6966517.0285714259</v>
      </c>
      <c r="H1951" s="794">
        <f>+J1923*G1951+E1951</f>
        <v>1587231.4951068615</v>
      </c>
      <c r="I1951" s="795">
        <f>+J1924*G1951+E1951</f>
        <v>1587231.4951068615</v>
      </c>
      <c r="J1951" s="792">
        <f t="shared" si="180"/>
        <v>0</v>
      </c>
      <c r="K1951" s="792"/>
      <c r="L1951" s="812"/>
      <c r="M1951" s="792">
        <f t="shared" si="174"/>
        <v>0</v>
      </c>
      <c r="N1951" s="812"/>
      <c r="O1951" s="792">
        <f t="shared" si="175"/>
        <v>0</v>
      </c>
      <c r="P1951" s="792">
        <f t="shared" si="176"/>
        <v>0</v>
      </c>
    </row>
    <row r="1952" spans="3:16">
      <c r="C1952" s="788">
        <f>IF(D1922="","-",+C1951+1)</f>
        <v>2043</v>
      </c>
      <c r="D1952" s="736">
        <f t="shared" si="177"/>
        <v>6676245.4857142828</v>
      </c>
      <c r="E1952" s="789">
        <f t="shared" si="179"/>
        <v>580543.08571428573</v>
      </c>
      <c r="F1952" s="789">
        <f t="shared" si="173"/>
        <v>6095702.3999999966</v>
      </c>
      <c r="G1952" s="736">
        <f t="shared" si="178"/>
        <v>6385973.9428571397</v>
      </c>
      <c r="H1952" s="794">
        <f>+J1923*G1952+E1952</f>
        <v>1503340.7943241466</v>
      </c>
      <c r="I1952" s="795">
        <f>+J1924*G1952+E1952</f>
        <v>1503340.7943241466</v>
      </c>
      <c r="J1952" s="792">
        <f t="shared" si="180"/>
        <v>0</v>
      </c>
      <c r="K1952" s="792"/>
      <c r="L1952" s="812"/>
      <c r="M1952" s="792">
        <f t="shared" si="174"/>
        <v>0</v>
      </c>
      <c r="N1952" s="812"/>
      <c r="O1952" s="792">
        <f t="shared" si="175"/>
        <v>0</v>
      </c>
      <c r="P1952" s="792">
        <f t="shared" si="176"/>
        <v>0</v>
      </c>
    </row>
    <row r="1953" spans="3:16">
      <c r="C1953" s="788">
        <f>IF(D1922="","-",+C1952+1)</f>
        <v>2044</v>
      </c>
      <c r="D1953" s="736">
        <f t="shared" si="177"/>
        <v>6095702.3999999966</v>
      </c>
      <c r="E1953" s="789">
        <f t="shared" si="179"/>
        <v>580543.08571428573</v>
      </c>
      <c r="F1953" s="789">
        <f t="shared" si="173"/>
        <v>5515159.3142857105</v>
      </c>
      <c r="G1953" s="736">
        <f t="shared" si="178"/>
        <v>5805430.8571428536</v>
      </c>
      <c r="H1953" s="794">
        <f>+J1923*G1953+E1953</f>
        <v>1419450.0935414317</v>
      </c>
      <c r="I1953" s="795">
        <f>+J1924*G1953+E1953</f>
        <v>1419450.0935414317</v>
      </c>
      <c r="J1953" s="792">
        <f t="shared" si="180"/>
        <v>0</v>
      </c>
      <c r="K1953" s="792"/>
      <c r="L1953" s="812"/>
      <c r="M1953" s="792">
        <f t="shared" si="174"/>
        <v>0</v>
      </c>
      <c r="N1953" s="812"/>
      <c r="O1953" s="792">
        <f t="shared" si="175"/>
        <v>0</v>
      </c>
      <c r="P1953" s="792">
        <f t="shared" si="176"/>
        <v>0</v>
      </c>
    </row>
    <row r="1954" spans="3:16">
      <c r="C1954" s="788">
        <f>IF(D1922="","-",+C1953+1)</f>
        <v>2045</v>
      </c>
      <c r="D1954" s="736">
        <f t="shared" si="177"/>
        <v>5515159.3142857105</v>
      </c>
      <c r="E1954" s="789">
        <f t="shared" si="179"/>
        <v>580543.08571428573</v>
      </c>
      <c r="F1954" s="789">
        <f t="shared" si="173"/>
        <v>4934616.2285714243</v>
      </c>
      <c r="G1954" s="736">
        <f t="shared" si="178"/>
        <v>5224887.7714285674</v>
      </c>
      <c r="H1954" s="794">
        <f>+J1923*G1954+E1954</f>
        <v>1335559.3927587171</v>
      </c>
      <c r="I1954" s="795">
        <f>+J1924*G1954+E1954</f>
        <v>1335559.3927587171</v>
      </c>
      <c r="J1954" s="792">
        <f t="shared" si="180"/>
        <v>0</v>
      </c>
      <c r="K1954" s="792"/>
      <c r="L1954" s="812"/>
      <c r="M1954" s="792">
        <f t="shared" si="174"/>
        <v>0</v>
      </c>
      <c r="N1954" s="812"/>
      <c r="O1954" s="792">
        <f t="shared" si="175"/>
        <v>0</v>
      </c>
      <c r="P1954" s="792">
        <f t="shared" si="176"/>
        <v>0</v>
      </c>
    </row>
    <row r="1955" spans="3:16">
      <c r="C1955" s="788">
        <f>IF(D1922="","-",+C1954+1)</f>
        <v>2046</v>
      </c>
      <c r="D1955" s="736">
        <f t="shared" si="177"/>
        <v>4934616.2285714243</v>
      </c>
      <c r="E1955" s="789">
        <f t="shared" si="179"/>
        <v>580543.08571428573</v>
      </c>
      <c r="F1955" s="789">
        <f t="shared" si="173"/>
        <v>4354073.1428571381</v>
      </c>
      <c r="G1955" s="736">
        <f t="shared" si="178"/>
        <v>4644344.6857142812</v>
      </c>
      <c r="H1955" s="794">
        <f>+J1923*G1955+E1955</f>
        <v>1251668.6919760024</v>
      </c>
      <c r="I1955" s="795">
        <f>+J1924*G1955+E1955</f>
        <v>1251668.6919760024</v>
      </c>
      <c r="J1955" s="792">
        <f t="shared" si="180"/>
        <v>0</v>
      </c>
      <c r="K1955" s="792"/>
      <c r="L1955" s="812"/>
      <c r="M1955" s="792">
        <f t="shared" si="174"/>
        <v>0</v>
      </c>
      <c r="N1955" s="812"/>
      <c r="O1955" s="792">
        <f t="shared" si="175"/>
        <v>0</v>
      </c>
      <c r="P1955" s="792">
        <f t="shared" si="176"/>
        <v>0</v>
      </c>
    </row>
    <row r="1956" spans="3:16">
      <c r="C1956" s="788">
        <f>IF(D1922="","-",+C1955+1)</f>
        <v>2047</v>
      </c>
      <c r="D1956" s="736">
        <f t="shared" si="177"/>
        <v>4354073.1428571381</v>
      </c>
      <c r="E1956" s="789">
        <f t="shared" si="179"/>
        <v>580543.08571428573</v>
      </c>
      <c r="F1956" s="789">
        <f t="shared" si="173"/>
        <v>3773530.0571428523</v>
      </c>
      <c r="G1956" s="736">
        <f t="shared" si="178"/>
        <v>4063801.599999995</v>
      </c>
      <c r="H1956" s="794">
        <f>+J1923*G1956+E1956</f>
        <v>1167777.9911932875</v>
      </c>
      <c r="I1956" s="795">
        <f>+J1924*G1956+E1956</f>
        <v>1167777.9911932875</v>
      </c>
      <c r="J1956" s="792">
        <f t="shared" si="180"/>
        <v>0</v>
      </c>
      <c r="K1956" s="792"/>
      <c r="L1956" s="812"/>
      <c r="M1956" s="792">
        <f t="shared" si="174"/>
        <v>0</v>
      </c>
      <c r="N1956" s="812"/>
      <c r="O1956" s="792">
        <f t="shared" si="175"/>
        <v>0</v>
      </c>
      <c r="P1956" s="792">
        <f t="shared" si="176"/>
        <v>0</v>
      </c>
    </row>
    <row r="1957" spans="3:16">
      <c r="C1957" s="788">
        <f>IF(D1922="","-",+C1956+1)</f>
        <v>2048</v>
      </c>
      <c r="D1957" s="736">
        <f t="shared" si="177"/>
        <v>3773530.0571428523</v>
      </c>
      <c r="E1957" s="789">
        <f t="shared" si="179"/>
        <v>580543.08571428573</v>
      </c>
      <c r="F1957" s="789">
        <f t="shared" si="173"/>
        <v>3192986.9714285666</v>
      </c>
      <c r="G1957" s="736">
        <f t="shared" si="178"/>
        <v>3483258.5142857097</v>
      </c>
      <c r="H1957" s="794">
        <f>+J1923*G1957+E1957</f>
        <v>1083887.2904105731</v>
      </c>
      <c r="I1957" s="795">
        <f>+J1924*G1957+E1957</f>
        <v>1083887.2904105731</v>
      </c>
      <c r="J1957" s="792">
        <f t="shared" si="180"/>
        <v>0</v>
      </c>
      <c r="K1957" s="792"/>
      <c r="L1957" s="812"/>
      <c r="M1957" s="792">
        <f t="shared" si="174"/>
        <v>0</v>
      </c>
      <c r="N1957" s="812"/>
      <c r="O1957" s="792">
        <f t="shared" si="175"/>
        <v>0</v>
      </c>
      <c r="P1957" s="792">
        <f t="shared" si="176"/>
        <v>0</v>
      </c>
    </row>
    <row r="1958" spans="3:16">
      <c r="C1958" s="788">
        <f>IF(D1922="","-",+C1957+1)</f>
        <v>2049</v>
      </c>
      <c r="D1958" s="736">
        <f t="shared" si="177"/>
        <v>3192986.9714285666</v>
      </c>
      <c r="E1958" s="789">
        <f t="shared" si="179"/>
        <v>580543.08571428573</v>
      </c>
      <c r="F1958" s="789">
        <f t="shared" si="173"/>
        <v>2612443.8857142809</v>
      </c>
      <c r="G1958" s="736">
        <f t="shared" si="178"/>
        <v>2902715.4285714235</v>
      </c>
      <c r="H1958" s="794">
        <f>+J1923*G1958+E1958</f>
        <v>999996.58962785825</v>
      </c>
      <c r="I1958" s="795">
        <f>+J1924*G1958+E1958</f>
        <v>999996.58962785825</v>
      </c>
      <c r="J1958" s="792">
        <f t="shared" si="180"/>
        <v>0</v>
      </c>
      <c r="K1958" s="792"/>
      <c r="L1958" s="812"/>
      <c r="M1958" s="792">
        <f t="shared" si="174"/>
        <v>0</v>
      </c>
      <c r="N1958" s="812"/>
      <c r="O1958" s="792">
        <f t="shared" si="175"/>
        <v>0</v>
      </c>
      <c r="P1958" s="792">
        <f t="shared" si="176"/>
        <v>0</v>
      </c>
    </row>
    <row r="1959" spans="3:16">
      <c r="C1959" s="788">
        <f>IF(D1922="","-",+C1958+1)</f>
        <v>2050</v>
      </c>
      <c r="D1959" s="736">
        <f t="shared" si="177"/>
        <v>2612443.8857142809</v>
      </c>
      <c r="E1959" s="789">
        <f t="shared" si="179"/>
        <v>580543.08571428573</v>
      </c>
      <c r="F1959" s="789">
        <f t="shared" si="173"/>
        <v>2031900.7999999952</v>
      </c>
      <c r="G1959" s="736">
        <f t="shared" si="178"/>
        <v>2322172.3428571383</v>
      </c>
      <c r="H1959" s="794">
        <f>+J1923*G1959+E1959</f>
        <v>916105.88884514372</v>
      </c>
      <c r="I1959" s="795">
        <f>+J1924*G1959+E1959</f>
        <v>916105.88884514372</v>
      </c>
      <c r="J1959" s="792">
        <f t="shared" si="180"/>
        <v>0</v>
      </c>
      <c r="K1959" s="792"/>
      <c r="L1959" s="812"/>
      <c r="M1959" s="792">
        <f t="shared" si="174"/>
        <v>0</v>
      </c>
      <c r="N1959" s="812"/>
      <c r="O1959" s="792">
        <f t="shared" si="175"/>
        <v>0</v>
      </c>
      <c r="P1959" s="792">
        <f t="shared" si="176"/>
        <v>0</v>
      </c>
    </row>
    <row r="1960" spans="3:16">
      <c r="C1960" s="788">
        <f>IF(D1922="","-",+C1959+1)</f>
        <v>2051</v>
      </c>
      <c r="D1960" s="736">
        <f t="shared" si="177"/>
        <v>2031900.7999999952</v>
      </c>
      <c r="E1960" s="789">
        <f t="shared" si="179"/>
        <v>580543.08571428573</v>
      </c>
      <c r="F1960" s="789">
        <f t="shared" si="173"/>
        <v>1451357.7142857094</v>
      </c>
      <c r="G1960" s="736">
        <f t="shared" si="178"/>
        <v>1741629.2571428523</v>
      </c>
      <c r="H1960" s="794">
        <f>+J1923*G1960+E1960</f>
        <v>832215.18806242896</v>
      </c>
      <c r="I1960" s="795">
        <f>+J1924*G1960+E1960</f>
        <v>832215.18806242896</v>
      </c>
      <c r="J1960" s="792">
        <f t="shared" si="180"/>
        <v>0</v>
      </c>
      <c r="K1960" s="792"/>
      <c r="L1960" s="812"/>
      <c r="M1960" s="792">
        <f t="shared" si="174"/>
        <v>0</v>
      </c>
      <c r="N1960" s="812"/>
      <c r="O1960" s="792">
        <f t="shared" si="175"/>
        <v>0</v>
      </c>
      <c r="P1960" s="792">
        <f t="shared" si="176"/>
        <v>0</v>
      </c>
    </row>
    <row r="1961" spans="3:16">
      <c r="C1961" s="788">
        <f>IF(D1922="","-",+C1960+1)</f>
        <v>2052</v>
      </c>
      <c r="D1961" s="736">
        <f t="shared" si="177"/>
        <v>1451357.7142857094</v>
      </c>
      <c r="E1961" s="789">
        <f t="shared" si="179"/>
        <v>580543.08571428573</v>
      </c>
      <c r="F1961" s="789">
        <f t="shared" si="173"/>
        <v>870814.6285714237</v>
      </c>
      <c r="G1961" s="736">
        <f t="shared" si="178"/>
        <v>1161086.1714285666</v>
      </c>
      <c r="H1961" s="794">
        <f>+J1923*G1961+E1961</f>
        <v>748324.48727971432</v>
      </c>
      <c r="I1961" s="795">
        <f>+J1924*G1961+E1961</f>
        <v>748324.48727971432</v>
      </c>
      <c r="J1961" s="792">
        <f t="shared" si="180"/>
        <v>0</v>
      </c>
      <c r="K1961" s="792"/>
      <c r="L1961" s="812"/>
      <c r="M1961" s="792">
        <f t="shared" si="174"/>
        <v>0</v>
      </c>
      <c r="N1961" s="812"/>
      <c r="O1961" s="792">
        <f t="shared" si="175"/>
        <v>0</v>
      </c>
      <c r="P1961" s="792">
        <f t="shared" si="176"/>
        <v>0</v>
      </c>
    </row>
    <row r="1962" spans="3:16">
      <c r="C1962" s="788">
        <f>IF(D1922="","-",+C1961+1)</f>
        <v>2053</v>
      </c>
      <c r="D1962" s="736">
        <f t="shared" si="177"/>
        <v>870814.6285714237</v>
      </c>
      <c r="E1962" s="789">
        <f t="shared" si="179"/>
        <v>580543.08571428573</v>
      </c>
      <c r="F1962" s="789">
        <f t="shared" si="173"/>
        <v>290271.54285713797</v>
      </c>
      <c r="G1962" s="736">
        <f t="shared" si="178"/>
        <v>580543.08571428084</v>
      </c>
      <c r="H1962" s="794">
        <f>+J1923*G1962+E1962</f>
        <v>664433.78649699967</v>
      </c>
      <c r="I1962" s="795">
        <f>+J1924*G1962+E1962</f>
        <v>664433.78649699967</v>
      </c>
      <c r="J1962" s="792">
        <f t="shared" si="180"/>
        <v>0</v>
      </c>
      <c r="K1962" s="792"/>
      <c r="L1962" s="812"/>
      <c r="M1962" s="792">
        <f t="shared" si="174"/>
        <v>0</v>
      </c>
      <c r="N1962" s="812"/>
      <c r="O1962" s="792">
        <f t="shared" si="175"/>
        <v>0</v>
      </c>
      <c r="P1962" s="792">
        <f t="shared" si="176"/>
        <v>0</v>
      </c>
    </row>
    <row r="1963" spans="3:16">
      <c r="C1963" s="788">
        <f>IF(D1922="","-",+C1962+1)</f>
        <v>2054</v>
      </c>
      <c r="D1963" s="736">
        <f t="shared" si="177"/>
        <v>290271.54285713797</v>
      </c>
      <c r="E1963" s="789">
        <f t="shared" si="179"/>
        <v>290271.54285713797</v>
      </c>
      <c r="F1963" s="789">
        <f t="shared" si="173"/>
        <v>0</v>
      </c>
      <c r="G1963" s="736">
        <f t="shared" si="178"/>
        <v>145135.77142856899</v>
      </c>
      <c r="H1963" s="794">
        <f>+J1923*G1963+E1963</f>
        <v>311244.21805281629</v>
      </c>
      <c r="I1963" s="795">
        <f>+J1924*G1963+E1963</f>
        <v>311244.21805281629</v>
      </c>
      <c r="J1963" s="792">
        <f t="shared" si="180"/>
        <v>0</v>
      </c>
      <c r="K1963" s="792"/>
      <c r="L1963" s="812"/>
      <c r="M1963" s="792">
        <f t="shared" si="174"/>
        <v>0</v>
      </c>
      <c r="N1963" s="812"/>
      <c r="O1963" s="792">
        <f t="shared" si="175"/>
        <v>0</v>
      </c>
      <c r="P1963" s="792">
        <f t="shared" si="176"/>
        <v>0</v>
      </c>
    </row>
    <row r="1964" spans="3:16">
      <c r="C1964" s="788">
        <f>IF(D1922="","-",+C1963+1)</f>
        <v>2055</v>
      </c>
      <c r="D1964" s="736">
        <f t="shared" si="177"/>
        <v>0</v>
      </c>
      <c r="E1964" s="789">
        <f t="shared" si="179"/>
        <v>0</v>
      </c>
      <c r="F1964" s="789">
        <f t="shared" si="173"/>
        <v>0</v>
      </c>
      <c r="G1964" s="736">
        <f t="shared" si="178"/>
        <v>0</v>
      </c>
      <c r="H1964" s="794">
        <f>+J1923*G1964+E1964</f>
        <v>0</v>
      </c>
      <c r="I1964" s="795">
        <f>+J1924*G1964+E1964</f>
        <v>0</v>
      </c>
      <c r="J1964" s="792">
        <f t="shared" si="180"/>
        <v>0</v>
      </c>
      <c r="K1964" s="792"/>
      <c r="L1964" s="812"/>
      <c r="M1964" s="792">
        <f t="shared" si="174"/>
        <v>0</v>
      </c>
      <c r="N1964" s="812"/>
      <c r="O1964" s="792">
        <f t="shared" si="175"/>
        <v>0</v>
      </c>
      <c r="P1964" s="792">
        <f t="shared" si="176"/>
        <v>0</v>
      </c>
    </row>
    <row r="1965" spans="3:16">
      <c r="C1965" s="788">
        <f>IF(D1922="","-",+C1964+1)</f>
        <v>2056</v>
      </c>
      <c r="D1965" s="736">
        <f t="shared" si="177"/>
        <v>0</v>
      </c>
      <c r="E1965" s="789">
        <f t="shared" si="179"/>
        <v>0</v>
      </c>
      <c r="F1965" s="789">
        <f t="shared" si="173"/>
        <v>0</v>
      </c>
      <c r="G1965" s="736">
        <f t="shared" si="178"/>
        <v>0</v>
      </c>
      <c r="H1965" s="794">
        <f>+J1923*G1965+E1965</f>
        <v>0</v>
      </c>
      <c r="I1965" s="795">
        <f>+J1924*G1965+E1965</f>
        <v>0</v>
      </c>
      <c r="J1965" s="792">
        <f t="shared" si="180"/>
        <v>0</v>
      </c>
      <c r="K1965" s="792"/>
      <c r="L1965" s="812"/>
      <c r="M1965" s="792">
        <f t="shared" si="174"/>
        <v>0</v>
      </c>
      <c r="N1965" s="812"/>
      <c r="O1965" s="792">
        <f t="shared" si="175"/>
        <v>0</v>
      </c>
      <c r="P1965" s="792">
        <f t="shared" si="176"/>
        <v>0</v>
      </c>
    </row>
    <row r="1966" spans="3:16">
      <c r="C1966" s="788">
        <f>IF(D1922="","-",+C1965+1)</f>
        <v>2057</v>
      </c>
      <c r="D1966" s="736">
        <f t="shared" si="177"/>
        <v>0</v>
      </c>
      <c r="E1966" s="789">
        <f t="shared" si="179"/>
        <v>0</v>
      </c>
      <c r="F1966" s="789">
        <f t="shared" si="173"/>
        <v>0</v>
      </c>
      <c r="G1966" s="736">
        <f t="shared" si="178"/>
        <v>0</v>
      </c>
      <c r="H1966" s="794">
        <f>+J1923*G1966+E1966</f>
        <v>0</v>
      </c>
      <c r="I1966" s="795">
        <f>+J1924*G1966+E1966</f>
        <v>0</v>
      </c>
      <c r="J1966" s="792">
        <f t="shared" si="180"/>
        <v>0</v>
      </c>
      <c r="K1966" s="792"/>
      <c r="L1966" s="812"/>
      <c r="M1966" s="792">
        <f t="shared" si="174"/>
        <v>0</v>
      </c>
      <c r="N1966" s="812"/>
      <c r="O1966" s="792">
        <f t="shared" si="175"/>
        <v>0</v>
      </c>
      <c r="P1966" s="792">
        <f t="shared" si="176"/>
        <v>0</v>
      </c>
    </row>
    <row r="1967" spans="3:16">
      <c r="C1967" s="788">
        <f>IF(D1922="","-",+C1966+1)</f>
        <v>2058</v>
      </c>
      <c r="D1967" s="736">
        <f t="shared" si="177"/>
        <v>0</v>
      </c>
      <c r="E1967" s="789">
        <f t="shared" si="179"/>
        <v>0</v>
      </c>
      <c r="F1967" s="789">
        <f t="shared" si="173"/>
        <v>0</v>
      </c>
      <c r="G1967" s="736">
        <f t="shared" si="178"/>
        <v>0</v>
      </c>
      <c r="H1967" s="794">
        <f>+J1923*G1967+E1967</f>
        <v>0</v>
      </c>
      <c r="I1967" s="795">
        <f>+J1924*G1967+E1967</f>
        <v>0</v>
      </c>
      <c r="J1967" s="792">
        <f t="shared" si="180"/>
        <v>0</v>
      </c>
      <c r="K1967" s="792"/>
      <c r="L1967" s="812"/>
      <c r="M1967" s="792">
        <f t="shared" si="174"/>
        <v>0</v>
      </c>
      <c r="N1967" s="812"/>
      <c r="O1967" s="792">
        <f t="shared" si="175"/>
        <v>0</v>
      </c>
      <c r="P1967" s="792">
        <f t="shared" si="176"/>
        <v>0</v>
      </c>
    </row>
    <row r="1968" spans="3:16">
      <c r="C1968" s="788">
        <f>IF(D1922="","-",+C1967+1)</f>
        <v>2059</v>
      </c>
      <c r="D1968" s="736">
        <f t="shared" si="177"/>
        <v>0</v>
      </c>
      <c r="E1968" s="789">
        <f t="shared" si="179"/>
        <v>0</v>
      </c>
      <c r="F1968" s="789">
        <f t="shared" si="173"/>
        <v>0</v>
      </c>
      <c r="G1968" s="736">
        <f t="shared" si="178"/>
        <v>0</v>
      </c>
      <c r="H1968" s="794">
        <f>+J1923*G1968+E1968</f>
        <v>0</v>
      </c>
      <c r="I1968" s="795">
        <f>+J1924*G1968+E1968</f>
        <v>0</v>
      </c>
      <c r="J1968" s="792">
        <f t="shared" si="180"/>
        <v>0</v>
      </c>
      <c r="K1968" s="792"/>
      <c r="L1968" s="812"/>
      <c r="M1968" s="792">
        <f t="shared" si="174"/>
        <v>0</v>
      </c>
      <c r="N1968" s="812"/>
      <c r="O1968" s="792">
        <f t="shared" si="175"/>
        <v>0</v>
      </c>
      <c r="P1968" s="792">
        <f t="shared" si="176"/>
        <v>0</v>
      </c>
    </row>
    <row r="1969" spans="3:16">
      <c r="C1969" s="788">
        <f>IF(D1922="","-",+C1968+1)</f>
        <v>2060</v>
      </c>
      <c r="D1969" s="736">
        <f t="shared" si="177"/>
        <v>0</v>
      </c>
      <c r="E1969" s="789">
        <f t="shared" si="179"/>
        <v>0</v>
      </c>
      <c r="F1969" s="789">
        <f t="shared" si="173"/>
        <v>0</v>
      </c>
      <c r="G1969" s="736">
        <f t="shared" si="178"/>
        <v>0</v>
      </c>
      <c r="H1969" s="794">
        <f>+J1923*G1969+E1969</f>
        <v>0</v>
      </c>
      <c r="I1969" s="795">
        <f>+J1924*G1969+E1969</f>
        <v>0</v>
      </c>
      <c r="J1969" s="792">
        <f t="shared" si="180"/>
        <v>0</v>
      </c>
      <c r="K1969" s="792"/>
      <c r="L1969" s="812"/>
      <c r="M1969" s="792">
        <f t="shared" si="174"/>
        <v>0</v>
      </c>
      <c r="N1969" s="812"/>
      <c r="O1969" s="792">
        <f t="shared" si="175"/>
        <v>0</v>
      </c>
      <c r="P1969" s="792">
        <f t="shared" si="176"/>
        <v>0</v>
      </c>
    </row>
    <row r="1970" spans="3:16">
      <c r="C1970" s="788">
        <f>IF(D1922="","-",+C1969+1)</f>
        <v>2061</v>
      </c>
      <c r="D1970" s="736">
        <f t="shared" si="177"/>
        <v>0</v>
      </c>
      <c r="E1970" s="789">
        <f t="shared" si="179"/>
        <v>0</v>
      </c>
      <c r="F1970" s="789">
        <f t="shared" si="173"/>
        <v>0</v>
      </c>
      <c r="G1970" s="736">
        <f t="shared" si="178"/>
        <v>0</v>
      </c>
      <c r="H1970" s="794">
        <f>+J1923*G1970+E1970</f>
        <v>0</v>
      </c>
      <c r="I1970" s="795">
        <f>+J1924*G1970+E1970</f>
        <v>0</v>
      </c>
      <c r="J1970" s="792">
        <f t="shared" si="180"/>
        <v>0</v>
      </c>
      <c r="K1970" s="792"/>
      <c r="L1970" s="812"/>
      <c r="M1970" s="792">
        <f t="shared" si="174"/>
        <v>0</v>
      </c>
      <c r="N1970" s="812"/>
      <c r="O1970" s="792">
        <f t="shared" si="175"/>
        <v>0</v>
      </c>
      <c r="P1970" s="792">
        <f t="shared" si="176"/>
        <v>0</v>
      </c>
    </row>
    <row r="1971" spans="3:16">
      <c r="C1971" s="788">
        <f>IF(D1922="","-",+C1970+1)</f>
        <v>2062</v>
      </c>
      <c r="D1971" s="736">
        <f t="shared" si="177"/>
        <v>0</v>
      </c>
      <c r="E1971" s="789">
        <f t="shared" si="179"/>
        <v>0</v>
      </c>
      <c r="F1971" s="789">
        <f t="shared" si="173"/>
        <v>0</v>
      </c>
      <c r="G1971" s="736">
        <f t="shared" si="178"/>
        <v>0</v>
      </c>
      <c r="H1971" s="794">
        <f>+J1923*G1971+E1971</f>
        <v>0</v>
      </c>
      <c r="I1971" s="795">
        <f>+J1924*G1971+E1971</f>
        <v>0</v>
      </c>
      <c r="J1971" s="792">
        <f t="shared" si="180"/>
        <v>0</v>
      </c>
      <c r="K1971" s="792"/>
      <c r="L1971" s="812"/>
      <c r="M1971" s="792">
        <f t="shared" si="174"/>
        <v>0</v>
      </c>
      <c r="N1971" s="812"/>
      <c r="O1971" s="792">
        <f t="shared" si="175"/>
        <v>0</v>
      </c>
      <c r="P1971" s="792">
        <f t="shared" si="176"/>
        <v>0</v>
      </c>
    </row>
    <row r="1972" spans="3:16">
      <c r="C1972" s="788">
        <f>IF(D1922="","-",+C1971+1)</f>
        <v>2063</v>
      </c>
      <c r="D1972" s="736">
        <f t="shared" si="177"/>
        <v>0</v>
      </c>
      <c r="E1972" s="789">
        <f t="shared" si="179"/>
        <v>0</v>
      </c>
      <c r="F1972" s="789">
        <f t="shared" si="173"/>
        <v>0</v>
      </c>
      <c r="G1972" s="736">
        <f t="shared" si="178"/>
        <v>0</v>
      </c>
      <c r="H1972" s="794">
        <f>+J1923*G1972+E1972</f>
        <v>0</v>
      </c>
      <c r="I1972" s="795">
        <f>+J1924*G1972+E1972</f>
        <v>0</v>
      </c>
      <c r="J1972" s="792">
        <f t="shared" si="180"/>
        <v>0</v>
      </c>
      <c r="K1972" s="792"/>
      <c r="L1972" s="812"/>
      <c r="M1972" s="792">
        <f t="shared" si="174"/>
        <v>0</v>
      </c>
      <c r="N1972" s="812"/>
      <c r="O1972" s="792">
        <f t="shared" si="175"/>
        <v>0</v>
      </c>
      <c r="P1972" s="792">
        <f t="shared" si="176"/>
        <v>0</v>
      </c>
    </row>
    <row r="1973" spans="3:16">
      <c r="C1973" s="788">
        <f>IF(D1922="","-",+C1972+1)</f>
        <v>2064</v>
      </c>
      <c r="D1973" s="736">
        <f t="shared" si="177"/>
        <v>0</v>
      </c>
      <c r="E1973" s="789">
        <f t="shared" si="179"/>
        <v>0</v>
      </c>
      <c r="F1973" s="789">
        <f t="shared" si="173"/>
        <v>0</v>
      </c>
      <c r="G1973" s="736">
        <f t="shared" si="178"/>
        <v>0</v>
      </c>
      <c r="H1973" s="794">
        <f>+J1923*G1973+E1973</f>
        <v>0</v>
      </c>
      <c r="I1973" s="795">
        <f>+J1924*G1973+E1973</f>
        <v>0</v>
      </c>
      <c r="J1973" s="792">
        <f t="shared" si="180"/>
        <v>0</v>
      </c>
      <c r="K1973" s="792"/>
      <c r="L1973" s="812"/>
      <c r="M1973" s="792">
        <f t="shared" si="174"/>
        <v>0</v>
      </c>
      <c r="N1973" s="812"/>
      <c r="O1973" s="792">
        <f t="shared" si="175"/>
        <v>0</v>
      </c>
      <c r="P1973" s="792">
        <f t="shared" si="176"/>
        <v>0</v>
      </c>
    </row>
    <row r="1974" spans="3:16">
      <c r="C1974" s="788">
        <f>IF(D1922="","-",+C1973+1)</f>
        <v>2065</v>
      </c>
      <c r="D1974" s="736">
        <f t="shared" si="177"/>
        <v>0</v>
      </c>
      <c r="E1974" s="789">
        <f t="shared" si="179"/>
        <v>0</v>
      </c>
      <c r="F1974" s="789">
        <f t="shared" si="173"/>
        <v>0</v>
      </c>
      <c r="G1974" s="736">
        <f t="shared" si="178"/>
        <v>0</v>
      </c>
      <c r="H1974" s="794">
        <f>+J1923*G1974+E1974</f>
        <v>0</v>
      </c>
      <c r="I1974" s="795">
        <f>+J1924*G1974+E1974</f>
        <v>0</v>
      </c>
      <c r="J1974" s="792">
        <f t="shared" si="180"/>
        <v>0</v>
      </c>
      <c r="K1974" s="792"/>
      <c r="L1974" s="812"/>
      <c r="M1974" s="792">
        <f t="shared" si="174"/>
        <v>0</v>
      </c>
      <c r="N1974" s="812"/>
      <c r="O1974" s="792">
        <f t="shared" si="175"/>
        <v>0</v>
      </c>
      <c r="P1974" s="792">
        <f t="shared" si="176"/>
        <v>0</v>
      </c>
    </row>
    <row r="1975" spans="3:16">
      <c r="C1975" s="788">
        <f>IF(D1922="","-",+C1974+1)</f>
        <v>2066</v>
      </c>
      <c r="D1975" s="736">
        <f t="shared" si="177"/>
        <v>0</v>
      </c>
      <c r="E1975" s="789">
        <f t="shared" si="179"/>
        <v>0</v>
      </c>
      <c r="F1975" s="789">
        <f t="shared" si="173"/>
        <v>0</v>
      </c>
      <c r="G1975" s="736">
        <f t="shared" si="178"/>
        <v>0</v>
      </c>
      <c r="H1975" s="794">
        <f>+J1923*G1975+E1975</f>
        <v>0</v>
      </c>
      <c r="I1975" s="795">
        <f>+J1924*G1975+E1975</f>
        <v>0</v>
      </c>
      <c r="J1975" s="792">
        <f t="shared" si="180"/>
        <v>0</v>
      </c>
      <c r="K1975" s="792"/>
      <c r="L1975" s="812"/>
      <c r="M1975" s="792">
        <f t="shared" si="174"/>
        <v>0</v>
      </c>
      <c r="N1975" s="812"/>
      <c r="O1975" s="792">
        <f t="shared" si="175"/>
        <v>0</v>
      </c>
      <c r="P1975" s="792">
        <f t="shared" si="176"/>
        <v>0</v>
      </c>
    </row>
    <row r="1976" spans="3:16">
      <c r="C1976" s="788">
        <f>IF(D1922="","-",+C1975+1)</f>
        <v>2067</v>
      </c>
      <c r="D1976" s="736">
        <f t="shared" si="177"/>
        <v>0</v>
      </c>
      <c r="E1976" s="789">
        <f t="shared" si="179"/>
        <v>0</v>
      </c>
      <c r="F1976" s="789">
        <f t="shared" si="173"/>
        <v>0</v>
      </c>
      <c r="G1976" s="736">
        <f t="shared" si="178"/>
        <v>0</v>
      </c>
      <c r="H1976" s="794">
        <f>+J1923*G1976+E1976</f>
        <v>0</v>
      </c>
      <c r="I1976" s="795">
        <f>+J1924*G1976+E1976</f>
        <v>0</v>
      </c>
      <c r="J1976" s="792">
        <f t="shared" si="180"/>
        <v>0</v>
      </c>
      <c r="K1976" s="792"/>
      <c r="L1976" s="812"/>
      <c r="M1976" s="792">
        <f t="shared" si="174"/>
        <v>0</v>
      </c>
      <c r="N1976" s="812"/>
      <c r="O1976" s="792">
        <f t="shared" si="175"/>
        <v>0</v>
      </c>
      <c r="P1976" s="792">
        <f t="shared" si="176"/>
        <v>0</v>
      </c>
    </row>
    <row r="1977" spans="3:16">
      <c r="C1977" s="788">
        <f>IF(D1922="","-",+C1976+1)</f>
        <v>2068</v>
      </c>
      <c r="D1977" s="736">
        <f t="shared" si="177"/>
        <v>0</v>
      </c>
      <c r="E1977" s="789">
        <f t="shared" si="179"/>
        <v>0</v>
      </c>
      <c r="F1977" s="789">
        <f t="shared" si="173"/>
        <v>0</v>
      </c>
      <c r="G1977" s="736">
        <f t="shared" si="178"/>
        <v>0</v>
      </c>
      <c r="H1977" s="794">
        <f>+J1923*G1977+E1977</f>
        <v>0</v>
      </c>
      <c r="I1977" s="795">
        <f>+J1924*G1977+E1977</f>
        <v>0</v>
      </c>
      <c r="J1977" s="792">
        <f t="shared" si="180"/>
        <v>0</v>
      </c>
      <c r="K1977" s="792"/>
      <c r="L1977" s="812"/>
      <c r="M1977" s="792">
        <f t="shared" si="174"/>
        <v>0</v>
      </c>
      <c r="N1977" s="812"/>
      <c r="O1977" s="792">
        <f t="shared" si="175"/>
        <v>0</v>
      </c>
      <c r="P1977" s="792">
        <f t="shared" si="176"/>
        <v>0</v>
      </c>
    </row>
    <row r="1978" spans="3:16">
      <c r="C1978" s="788">
        <f>IF(D1922="","-",+C1977+1)</f>
        <v>2069</v>
      </c>
      <c r="D1978" s="736">
        <f t="shared" si="177"/>
        <v>0</v>
      </c>
      <c r="E1978" s="789">
        <f t="shared" si="179"/>
        <v>0</v>
      </c>
      <c r="F1978" s="789">
        <f t="shared" si="173"/>
        <v>0</v>
      </c>
      <c r="G1978" s="736">
        <f t="shared" si="178"/>
        <v>0</v>
      </c>
      <c r="H1978" s="794">
        <f>+J1923*G1978+E1978</f>
        <v>0</v>
      </c>
      <c r="I1978" s="795">
        <f>+J1924*G1978+E1978</f>
        <v>0</v>
      </c>
      <c r="J1978" s="792">
        <f t="shared" si="180"/>
        <v>0</v>
      </c>
      <c r="K1978" s="792"/>
      <c r="L1978" s="812"/>
      <c r="M1978" s="792">
        <f t="shared" si="174"/>
        <v>0</v>
      </c>
      <c r="N1978" s="812"/>
      <c r="O1978" s="792">
        <f t="shared" si="175"/>
        <v>0</v>
      </c>
      <c r="P1978" s="792">
        <f t="shared" si="176"/>
        <v>0</v>
      </c>
    </row>
    <row r="1979" spans="3:16">
      <c r="C1979" s="788">
        <f>IF(D1922="","-",+C1978+1)</f>
        <v>2070</v>
      </c>
      <c r="D1979" s="736">
        <f t="shared" si="177"/>
        <v>0</v>
      </c>
      <c r="E1979" s="789">
        <f t="shared" si="179"/>
        <v>0</v>
      </c>
      <c r="F1979" s="789">
        <f t="shared" si="173"/>
        <v>0</v>
      </c>
      <c r="G1979" s="736">
        <f t="shared" si="178"/>
        <v>0</v>
      </c>
      <c r="H1979" s="794">
        <f>+J1923*G1979+E1979</f>
        <v>0</v>
      </c>
      <c r="I1979" s="795">
        <f>+J1924*G1979+E1979</f>
        <v>0</v>
      </c>
      <c r="J1979" s="792">
        <f t="shared" si="180"/>
        <v>0</v>
      </c>
      <c r="K1979" s="792"/>
      <c r="L1979" s="812"/>
      <c r="M1979" s="792">
        <f t="shared" si="174"/>
        <v>0</v>
      </c>
      <c r="N1979" s="812"/>
      <c r="O1979" s="792">
        <f t="shared" si="175"/>
        <v>0</v>
      </c>
      <c r="P1979" s="792">
        <f t="shared" si="176"/>
        <v>0</v>
      </c>
    </row>
    <row r="1980" spans="3:16">
      <c r="C1980" s="788">
        <f>IF(D1922="","-",+C1979+1)</f>
        <v>2071</v>
      </c>
      <c r="D1980" s="736">
        <f t="shared" si="177"/>
        <v>0</v>
      </c>
      <c r="E1980" s="789">
        <f t="shared" si="179"/>
        <v>0</v>
      </c>
      <c r="F1980" s="789">
        <f t="shared" si="173"/>
        <v>0</v>
      </c>
      <c r="G1980" s="736">
        <f t="shared" si="178"/>
        <v>0</v>
      </c>
      <c r="H1980" s="794">
        <f>+J1923*G1980+E1980</f>
        <v>0</v>
      </c>
      <c r="I1980" s="795">
        <f>+J1924*G1980+E1980</f>
        <v>0</v>
      </c>
      <c r="J1980" s="792">
        <f t="shared" si="180"/>
        <v>0</v>
      </c>
      <c r="K1980" s="792"/>
      <c r="L1980" s="812"/>
      <c r="M1980" s="792">
        <f t="shared" si="174"/>
        <v>0</v>
      </c>
      <c r="N1980" s="812"/>
      <c r="O1980" s="792">
        <f t="shared" si="175"/>
        <v>0</v>
      </c>
      <c r="P1980" s="792">
        <f t="shared" si="176"/>
        <v>0</v>
      </c>
    </row>
    <row r="1981" spans="3:16">
      <c r="C1981" s="788">
        <f>IF(D1922="","-",+C1980+1)</f>
        <v>2072</v>
      </c>
      <c r="D1981" s="736">
        <f t="shared" si="177"/>
        <v>0</v>
      </c>
      <c r="E1981" s="789">
        <f t="shared" si="179"/>
        <v>0</v>
      </c>
      <c r="F1981" s="789">
        <f t="shared" si="173"/>
        <v>0</v>
      </c>
      <c r="G1981" s="736">
        <f t="shared" si="178"/>
        <v>0</v>
      </c>
      <c r="H1981" s="794">
        <f>+J1923*G1981+E1981</f>
        <v>0</v>
      </c>
      <c r="I1981" s="795">
        <f>+J1924*G1981+E1981</f>
        <v>0</v>
      </c>
      <c r="J1981" s="792">
        <f t="shared" si="180"/>
        <v>0</v>
      </c>
      <c r="K1981" s="792"/>
      <c r="L1981" s="812"/>
      <c r="M1981" s="792">
        <f t="shared" si="174"/>
        <v>0</v>
      </c>
      <c r="N1981" s="812"/>
      <c r="O1981" s="792">
        <f t="shared" si="175"/>
        <v>0</v>
      </c>
      <c r="P1981" s="792">
        <f t="shared" si="176"/>
        <v>0</v>
      </c>
    </row>
    <row r="1982" spans="3:16">
      <c r="C1982" s="788">
        <f>IF(D1922="","-",+C1981+1)</f>
        <v>2073</v>
      </c>
      <c r="D1982" s="736">
        <f t="shared" si="177"/>
        <v>0</v>
      </c>
      <c r="E1982" s="789">
        <f t="shared" si="179"/>
        <v>0</v>
      </c>
      <c r="F1982" s="789">
        <f t="shared" si="173"/>
        <v>0</v>
      </c>
      <c r="G1982" s="736">
        <f t="shared" si="178"/>
        <v>0</v>
      </c>
      <c r="H1982" s="794">
        <f>+J1923*G1982+E1982</f>
        <v>0</v>
      </c>
      <c r="I1982" s="795">
        <f>+J1924*G1982+E1982</f>
        <v>0</v>
      </c>
      <c r="J1982" s="792">
        <f t="shared" si="180"/>
        <v>0</v>
      </c>
      <c r="K1982" s="792"/>
      <c r="L1982" s="812"/>
      <c r="M1982" s="792">
        <f t="shared" si="174"/>
        <v>0</v>
      </c>
      <c r="N1982" s="812"/>
      <c r="O1982" s="792">
        <f t="shared" si="175"/>
        <v>0</v>
      </c>
      <c r="P1982" s="792">
        <f t="shared" si="176"/>
        <v>0</v>
      </c>
    </row>
    <row r="1983" spans="3:16">
      <c r="C1983" s="788">
        <f>IF(D1922="","-",+C1982+1)</f>
        <v>2074</v>
      </c>
      <c r="D1983" s="736">
        <f t="shared" si="177"/>
        <v>0</v>
      </c>
      <c r="E1983" s="789">
        <f t="shared" si="179"/>
        <v>0</v>
      </c>
      <c r="F1983" s="789">
        <f t="shared" si="173"/>
        <v>0</v>
      </c>
      <c r="G1983" s="736">
        <f t="shared" si="178"/>
        <v>0</v>
      </c>
      <c r="H1983" s="794">
        <f>+J1923*G1983+E1983</f>
        <v>0</v>
      </c>
      <c r="I1983" s="795">
        <f>+J1924*G1983+E1983</f>
        <v>0</v>
      </c>
      <c r="J1983" s="792">
        <f t="shared" si="180"/>
        <v>0</v>
      </c>
      <c r="K1983" s="792"/>
      <c r="L1983" s="812"/>
      <c r="M1983" s="792">
        <f t="shared" si="174"/>
        <v>0</v>
      </c>
      <c r="N1983" s="812"/>
      <c r="O1983" s="792">
        <f t="shared" si="175"/>
        <v>0</v>
      </c>
      <c r="P1983" s="792">
        <f t="shared" si="176"/>
        <v>0</v>
      </c>
    </row>
    <row r="1984" spans="3:16">
      <c r="C1984" s="788">
        <f>IF(D1922="","-",+C1983+1)</f>
        <v>2075</v>
      </c>
      <c r="D1984" s="736">
        <f t="shared" si="177"/>
        <v>0</v>
      </c>
      <c r="E1984" s="789">
        <f t="shared" si="179"/>
        <v>0</v>
      </c>
      <c r="F1984" s="789">
        <f t="shared" si="173"/>
        <v>0</v>
      </c>
      <c r="G1984" s="736">
        <f t="shared" si="178"/>
        <v>0</v>
      </c>
      <c r="H1984" s="794">
        <f>+J1923*G1984+E1984</f>
        <v>0</v>
      </c>
      <c r="I1984" s="795">
        <f>+J1924*G1984+E1984</f>
        <v>0</v>
      </c>
      <c r="J1984" s="792">
        <f t="shared" si="180"/>
        <v>0</v>
      </c>
      <c r="K1984" s="792"/>
      <c r="L1984" s="812"/>
      <c r="M1984" s="792">
        <f t="shared" si="174"/>
        <v>0</v>
      </c>
      <c r="N1984" s="812"/>
      <c r="O1984" s="792">
        <f t="shared" si="175"/>
        <v>0</v>
      </c>
      <c r="P1984" s="792">
        <f t="shared" si="176"/>
        <v>0</v>
      </c>
    </row>
    <row r="1985" spans="3:16">
      <c r="C1985" s="788">
        <f>IF(D1922="","-",+C1984+1)</f>
        <v>2076</v>
      </c>
      <c r="D1985" s="736">
        <f t="shared" si="177"/>
        <v>0</v>
      </c>
      <c r="E1985" s="789">
        <f t="shared" si="179"/>
        <v>0</v>
      </c>
      <c r="F1985" s="789">
        <f t="shared" si="173"/>
        <v>0</v>
      </c>
      <c r="G1985" s="736">
        <f t="shared" si="178"/>
        <v>0</v>
      </c>
      <c r="H1985" s="794">
        <f>+J1923*G1985+E1985</f>
        <v>0</v>
      </c>
      <c r="I1985" s="795">
        <f>+J1924*G1985+E1985</f>
        <v>0</v>
      </c>
      <c r="J1985" s="792">
        <f t="shared" si="180"/>
        <v>0</v>
      </c>
      <c r="K1985" s="792"/>
      <c r="L1985" s="812"/>
      <c r="M1985" s="792">
        <f t="shared" si="174"/>
        <v>0</v>
      </c>
      <c r="N1985" s="812"/>
      <c r="O1985" s="792">
        <f t="shared" si="175"/>
        <v>0</v>
      </c>
      <c r="P1985" s="792">
        <f t="shared" si="176"/>
        <v>0</v>
      </c>
    </row>
    <row r="1986" spans="3:16">
      <c r="C1986" s="788">
        <f>IF(D1922="","-",+C1985+1)</f>
        <v>2077</v>
      </c>
      <c r="D1986" s="736">
        <f t="shared" si="177"/>
        <v>0</v>
      </c>
      <c r="E1986" s="789">
        <f t="shared" si="179"/>
        <v>0</v>
      </c>
      <c r="F1986" s="789">
        <f t="shared" si="173"/>
        <v>0</v>
      </c>
      <c r="G1986" s="736">
        <f t="shared" si="178"/>
        <v>0</v>
      </c>
      <c r="H1986" s="794">
        <f>+J1923*G1986+E1986</f>
        <v>0</v>
      </c>
      <c r="I1986" s="795">
        <f>+J1924*G1986+E1986</f>
        <v>0</v>
      </c>
      <c r="J1986" s="792">
        <f t="shared" si="180"/>
        <v>0</v>
      </c>
      <c r="K1986" s="792"/>
      <c r="L1986" s="812"/>
      <c r="M1986" s="792">
        <f t="shared" si="174"/>
        <v>0</v>
      </c>
      <c r="N1986" s="812"/>
      <c r="O1986" s="792">
        <f t="shared" si="175"/>
        <v>0</v>
      </c>
      <c r="P1986" s="792">
        <f t="shared" si="176"/>
        <v>0</v>
      </c>
    </row>
    <row r="1987" spans="3:16" ht="13.5" thickBot="1">
      <c r="C1987" s="798">
        <f>IF(D1922="","-",+C1986+1)</f>
        <v>2078</v>
      </c>
      <c r="D1987" s="799">
        <f t="shared" si="177"/>
        <v>0</v>
      </c>
      <c r="E1987" s="789">
        <f t="shared" si="179"/>
        <v>0</v>
      </c>
      <c r="F1987" s="1322">
        <f t="shared" si="173"/>
        <v>0</v>
      </c>
      <c r="G1987" s="799">
        <f t="shared" si="178"/>
        <v>0</v>
      </c>
      <c r="H1987" s="801">
        <f>+J1923*G1987+E1987</f>
        <v>0</v>
      </c>
      <c r="I1987" s="801">
        <f>+J1924*G1987+E1987</f>
        <v>0</v>
      </c>
      <c r="J1987" s="802">
        <f t="shared" si="180"/>
        <v>0</v>
      </c>
      <c r="K1987" s="792"/>
      <c r="L1987" s="813"/>
      <c r="M1987" s="802">
        <f t="shared" si="174"/>
        <v>0</v>
      </c>
      <c r="N1987" s="813"/>
      <c r="O1987" s="802">
        <f t="shared" si="175"/>
        <v>0</v>
      </c>
      <c r="P1987" s="802">
        <f t="shared" si="176"/>
        <v>0</v>
      </c>
    </row>
    <row r="1988" spans="3:16">
      <c r="C1988" s="736" t="s">
        <v>83</v>
      </c>
      <c r="D1988" s="730"/>
      <c r="E1988" s="730">
        <f>SUM(E1928:E1987)</f>
        <v>20319007.999999996</v>
      </c>
      <c r="F1988" s="730"/>
      <c r="G1988" s="730"/>
      <c r="H1988" s="730">
        <f>SUM(H1928:H1987)</f>
        <v>73170149.49311024</v>
      </c>
      <c r="I1988" s="730">
        <f>SUM(I1928:I1987)</f>
        <v>73170149.49311024</v>
      </c>
      <c r="J1988" s="730">
        <f>SUM(J1928:J1987)</f>
        <v>0</v>
      </c>
      <c r="K1988" s="730"/>
      <c r="L1988" s="730"/>
      <c r="M1988" s="730"/>
      <c r="N1988" s="730"/>
      <c r="O1988" s="730"/>
    </row>
    <row r="1989" spans="3:16">
      <c r="D1989" s="538"/>
      <c r="E1989" s="313"/>
      <c r="F1989" s="313"/>
      <c r="G1989" s="313"/>
      <c r="H1989" s="313"/>
      <c r="I1989" s="708"/>
      <c r="J1989" s="708"/>
      <c r="K1989" s="730"/>
      <c r="L1989" s="708"/>
      <c r="M1989" s="708"/>
      <c r="N1989" s="708"/>
      <c r="O1989" s="708"/>
    </row>
    <row r="1990" spans="3:16">
      <c r="C1990" s="313" t="s">
        <v>13</v>
      </c>
      <c r="D1990" s="538"/>
      <c r="E1990" s="313"/>
      <c r="F1990" s="313"/>
      <c r="G1990" s="313"/>
      <c r="H1990" s="313"/>
      <c r="I1990" s="708"/>
      <c r="J1990" s="708"/>
      <c r="K1990" s="730"/>
      <c r="L1990" s="708"/>
      <c r="M1990" s="708"/>
      <c r="N1990" s="708"/>
      <c r="O1990" s="708"/>
    </row>
    <row r="1991" spans="3:16">
      <c r="C1991" s="313"/>
      <c r="D1991" s="538"/>
      <c r="E1991" s="313"/>
      <c r="F1991" s="313"/>
      <c r="G1991" s="313"/>
      <c r="H1991" s="313"/>
      <c r="I1991" s="708"/>
      <c r="J1991" s="708"/>
      <c r="K1991" s="730"/>
      <c r="L1991" s="708"/>
      <c r="M1991" s="708"/>
      <c r="N1991" s="708"/>
      <c r="O1991" s="708"/>
    </row>
    <row r="1992" spans="3:16">
      <c r="C1992" s="749" t="s">
        <v>14</v>
      </c>
      <c r="D1992" s="736"/>
      <c r="E1992" s="736"/>
      <c r="F1992" s="736"/>
      <c r="G1992" s="736"/>
      <c r="H1992" s="730"/>
      <c r="I1992" s="730"/>
      <c r="J1992" s="804"/>
      <c r="K1992" s="804"/>
      <c r="L1992" s="804"/>
      <c r="M1992" s="804"/>
      <c r="N1992" s="804"/>
      <c r="O1992" s="804"/>
    </row>
    <row r="1993" spans="3:16">
      <c r="C1993" s="735" t="s">
        <v>263</v>
      </c>
      <c r="D1993" s="736"/>
      <c r="E1993" s="736"/>
      <c r="F1993" s="736"/>
      <c r="G1993" s="736"/>
      <c r="H1993" s="730"/>
      <c r="I1993" s="730"/>
      <c r="J1993" s="804"/>
      <c r="K1993" s="804"/>
      <c r="L1993" s="804"/>
      <c r="M1993" s="804"/>
      <c r="N1993" s="804"/>
      <c r="O1993" s="804"/>
    </row>
    <row r="1994" spans="3:16">
      <c r="C1994" s="735" t="s">
        <v>84</v>
      </c>
      <c r="D1994" s="736"/>
      <c r="E1994" s="736"/>
      <c r="F1994" s="736"/>
      <c r="G1994" s="736"/>
      <c r="H1994" s="730"/>
      <c r="I1994" s="730"/>
      <c r="J1994" s="804"/>
      <c r="K1994" s="804"/>
      <c r="L1994" s="804"/>
      <c r="M1994" s="804"/>
      <c r="N1994" s="804"/>
      <c r="O1994" s="804"/>
    </row>
  </sheetData>
  <mergeCells count="64">
    <mergeCell ref="L1921:O1921"/>
    <mergeCell ref="L616:O616"/>
    <mergeCell ref="D612:I612"/>
    <mergeCell ref="D613:I613"/>
    <mergeCell ref="L1051:O1051"/>
    <mergeCell ref="D1047:I1048"/>
    <mergeCell ref="L1138:O1138"/>
    <mergeCell ref="D1221:I1222"/>
    <mergeCell ref="L703:O703"/>
    <mergeCell ref="L790:O790"/>
    <mergeCell ref="L1399:O1399"/>
    <mergeCell ref="L1486:O1486"/>
    <mergeCell ref="L1225:O1225"/>
    <mergeCell ref="L877:O877"/>
    <mergeCell ref="L1834:O1834"/>
    <mergeCell ref="D1569:I1569"/>
    <mergeCell ref="C51:D52"/>
    <mergeCell ref="C60:D61"/>
    <mergeCell ref="C71:D72"/>
    <mergeCell ref="D1917:I1917"/>
    <mergeCell ref="D1918:I1918"/>
    <mergeCell ref="D699:I700"/>
    <mergeCell ref="D786:I786"/>
    <mergeCell ref="D787:I787"/>
    <mergeCell ref="D1395:I1396"/>
    <mergeCell ref="D873:I873"/>
    <mergeCell ref="D874:I874"/>
    <mergeCell ref="D960:I960"/>
    <mergeCell ref="D961:I961"/>
    <mergeCell ref="D1134:I1134"/>
    <mergeCell ref="D1135:I1135"/>
    <mergeCell ref="D1482:J1483"/>
    <mergeCell ref="A3:P3"/>
    <mergeCell ref="C11:I12"/>
    <mergeCell ref="A4:P4"/>
    <mergeCell ref="A5:P5"/>
    <mergeCell ref="A6:P6"/>
    <mergeCell ref="J77:P80"/>
    <mergeCell ref="D176:I176"/>
    <mergeCell ref="L180:O180"/>
    <mergeCell ref="D1308:I1309"/>
    <mergeCell ref="D264:I264"/>
    <mergeCell ref="L268:O268"/>
    <mergeCell ref="D525:I526"/>
    <mergeCell ref="L529:O529"/>
    <mergeCell ref="L355:O355"/>
    <mergeCell ref="D351:I352"/>
    <mergeCell ref="L93:O93"/>
    <mergeCell ref="D89:I89"/>
    <mergeCell ref="L442:O442"/>
    <mergeCell ref="D438:I438"/>
    <mergeCell ref="D439:I439"/>
    <mergeCell ref="L964:O964"/>
    <mergeCell ref="D1831:I1831"/>
    <mergeCell ref="D1570:I1570"/>
    <mergeCell ref="D1656:I1656"/>
    <mergeCell ref="D1657:I1657"/>
    <mergeCell ref="D1743:I1743"/>
    <mergeCell ref="D1744:I1744"/>
    <mergeCell ref="L1312:O1312"/>
    <mergeCell ref="L1573:O1573"/>
    <mergeCell ref="L1660:O1660"/>
    <mergeCell ref="L1747:O1747"/>
    <mergeCell ref="D1830:I1830"/>
  </mergeCells>
  <phoneticPr fontId="0" type="noConversion"/>
  <conditionalFormatting sqref="C100:C159">
    <cfRule type="cellIs" dxfId="53" priority="32" stopIfTrue="1" operator="equal">
      <formula>$J$92</formula>
    </cfRule>
  </conditionalFormatting>
  <conditionalFormatting sqref="C187:C246">
    <cfRule type="cellIs" dxfId="52" priority="21" stopIfTrue="1" operator="equal">
      <formula>$J$92</formula>
    </cfRule>
  </conditionalFormatting>
  <conditionalFormatting sqref="C275:C334">
    <cfRule type="cellIs" dxfId="51" priority="20" stopIfTrue="1" operator="equal">
      <formula>$J$92</formula>
    </cfRule>
  </conditionalFormatting>
  <conditionalFormatting sqref="C362:C421">
    <cfRule type="cellIs" dxfId="50" priority="19" stopIfTrue="1" operator="equal">
      <formula>$J$92</formula>
    </cfRule>
  </conditionalFormatting>
  <conditionalFormatting sqref="C449:C508">
    <cfRule type="cellIs" dxfId="49" priority="18" stopIfTrue="1" operator="equal">
      <formula>$J$92</formula>
    </cfRule>
  </conditionalFormatting>
  <conditionalFormatting sqref="C536:C595">
    <cfRule type="cellIs" dxfId="48" priority="17" stopIfTrue="1" operator="equal">
      <formula>$J$92</formula>
    </cfRule>
  </conditionalFormatting>
  <conditionalFormatting sqref="C623:C682">
    <cfRule type="cellIs" dxfId="47" priority="16" stopIfTrue="1" operator="equal">
      <formula>$J$92</formula>
    </cfRule>
  </conditionalFormatting>
  <conditionalFormatting sqref="C710:C769">
    <cfRule type="cellIs" dxfId="46" priority="15" stopIfTrue="1" operator="equal">
      <formula>$J$92</formula>
    </cfRule>
  </conditionalFormatting>
  <conditionalFormatting sqref="C797:C856">
    <cfRule type="cellIs" dxfId="45" priority="14" stopIfTrue="1" operator="equal">
      <formula>$J$92</formula>
    </cfRule>
  </conditionalFormatting>
  <conditionalFormatting sqref="C884:C943">
    <cfRule type="cellIs" dxfId="44" priority="13" stopIfTrue="1" operator="equal">
      <formula>$J$92</formula>
    </cfRule>
  </conditionalFormatting>
  <conditionalFormatting sqref="C971:C1030">
    <cfRule type="cellIs" dxfId="43" priority="12" stopIfTrue="1" operator="equal">
      <formula>$J$92</formula>
    </cfRule>
  </conditionalFormatting>
  <conditionalFormatting sqref="C1058:C1117">
    <cfRule type="cellIs" dxfId="42" priority="11" stopIfTrue="1" operator="equal">
      <formula>$J$92</formula>
    </cfRule>
  </conditionalFormatting>
  <conditionalFormatting sqref="C1145:C1204">
    <cfRule type="cellIs" dxfId="41" priority="10" stopIfTrue="1" operator="equal">
      <formula>$J$92</formula>
    </cfRule>
  </conditionalFormatting>
  <conditionalFormatting sqref="C1232:C1291">
    <cfRule type="cellIs" dxfId="40" priority="9" stopIfTrue="1" operator="equal">
      <formula>$J$92</formula>
    </cfRule>
  </conditionalFormatting>
  <conditionalFormatting sqref="C1319:C1378">
    <cfRule type="cellIs" dxfId="39" priority="8" stopIfTrue="1" operator="equal">
      <formula>$J$92</formula>
    </cfRule>
  </conditionalFormatting>
  <conditionalFormatting sqref="C1406:C1465">
    <cfRule type="cellIs" dxfId="38" priority="7" stopIfTrue="1" operator="equal">
      <formula>$J$92</formula>
    </cfRule>
  </conditionalFormatting>
  <conditionalFormatting sqref="C1493:C1552">
    <cfRule type="cellIs" dxfId="37" priority="6" stopIfTrue="1" operator="equal">
      <formula>$J$92</formula>
    </cfRule>
  </conditionalFormatting>
  <conditionalFormatting sqref="C1580:C1639">
    <cfRule type="cellIs" dxfId="36" priority="5" stopIfTrue="1" operator="equal">
      <formula>$J$92</formula>
    </cfRule>
  </conditionalFormatting>
  <conditionalFormatting sqref="C1667:C1726">
    <cfRule type="cellIs" dxfId="35" priority="4" stopIfTrue="1" operator="equal">
      <formula>$J$92</formula>
    </cfRule>
  </conditionalFormatting>
  <conditionalFormatting sqref="C1754:C1813">
    <cfRule type="cellIs" dxfId="34" priority="3" stopIfTrue="1" operator="equal">
      <formula>$J$92</formula>
    </cfRule>
  </conditionalFormatting>
  <conditionalFormatting sqref="C1841:C1900">
    <cfRule type="cellIs" dxfId="33" priority="2" stopIfTrue="1" operator="equal">
      <formula>$J$92</formula>
    </cfRule>
  </conditionalFormatting>
  <conditionalFormatting sqref="C1928:C1987">
    <cfRule type="cellIs" dxfId="32" priority="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22" manualBreakCount="22">
    <brk id="80" max="15" man="1"/>
    <brk id="166" max="15" man="1"/>
    <brk id="255" max="15" man="1"/>
    <brk id="342" max="15" man="1"/>
    <brk id="429" max="15" man="1"/>
    <brk id="516" max="15" man="1"/>
    <brk id="603" max="15" man="1"/>
    <brk id="690" max="15" man="1"/>
    <brk id="777" max="15" man="1"/>
    <brk id="863" max="15" man="1"/>
    <brk id="951" max="15" man="1"/>
    <brk id="1038" max="15" man="1"/>
    <brk id="1125" max="15" man="1"/>
    <brk id="1212" max="15" man="1"/>
    <brk id="1299" max="15" man="1"/>
    <brk id="1386" max="15" man="1"/>
    <brk id="1473" max="15" man="1"/>
    <brk id="1560" max="15" man="1"/>
    <brk id="1647" max="15" man="1"/>
    <brk id="1734" max="15" man="1"/>
    <brk id="1821" max="15" man="1"/>
    <brk id="1908"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2059"/>
  <sheetViews>
    <sheetView view="pageBreakPreview" zoomScale="60" zoomScaleNormal="100" workbookViewId="0">
      <selection activeCell="M26" sqref="M26"/>
    </sheetView>
  </sheetViews>
  <sheetFormatPr defaultColWidth="8.85546875" defaultRowHeight="12.75"/>
  <cols>
    <col min="1" max="1" width="4.7109375" style="172" customWidth="1"/>
    <col min="2" max="2" width="6.7109375" style="392" customWidth="1"/>
    <col min="3" max="3" width="26.42578125" style="172" customWidth="1"/>
    <col min="4" max="4" width="17.7109375" style="272" customWidth="1"/>
    <col min="5" max="7" width="17.7109375" style="172" customWidth="1"/>
    <col min="8" max="8" width="17.7109375" style="487" customWidth="1"/>
    <col min="9" max="9" width="17.7109375" style="172" bestFit="1" customWidth="1"/>
    <col min="10" max="10" width="2.140625" style="155" customWidth="1"/>
    <col min="11" max="11" width="22.7109375" style="172" customWidth="1"/>
    <col min="12" max="12" width="13" style="172" customWidth="1"/>
    <col min="13" max="13" width="25.7109375" style="172" customWidth="1"/>
    <col min="14" max="14" width="17.7109375" style="172" customWidth="1"/>
    <col min="15" max="15" width="16.7109375" style="172" customWidth="1"/>
    <col min="16" max="16" width="2.140625" style="172" customWidth="1"/>
    <col min="17" max="16384" width="8.85546875" style="172"/>
  </cols>
  <sheetData>
    <row r="1" spans="1:16" ht="15.75">
      <c r="A1" s="992" t="s">
        <v>408</v>
      </c>
    </row>
    <row r="2" spans="1:16" ht="15.75">
      <c r="A2" s="992" t="s">
        <v>408</v>
      </c>
    </row>
    <row r="3" spans="1:16" ht="15">
      <c r="A3" s="1484" t="str">
        <f>TCOS!$F$5</f>
        <v>AEPTCo subsidiaries in PJM</v>
      </c>
      <c r="B3" s="1484" t="str">
        <f>TCOS!$F$5</f>
        <v>AEPTCo subsidiaries in PJM</v>
      </c>
      <c r="C3" s="1484" t="str">
        <f>TCOS!$F$5</f>
        <v>AEPTCo subsidiaries in PJM</v>
      </c>
      <c r="D3" s="1484" t="str">
        <f>TCOS!$F$5</f>
        <v>AEPTCo subsidiaries in PJM</v>
      </c>
      <c r="E3" s="1484" t="str">
        <f>TCOS!$F$5</f>
        <v>AEPTCo subsidiaries in PJM</v>
      </c>
      <c r="F3" s="1484" t="str">
        <f>TCOS!$F$5</f>
        <v>AEPTCo subsidiaries in PJM</v>
      </c>
      <c r="G3" s="1484" t="str">
        <f>TCOS!$F$5</f>
        <v>AEPTCo subsidiaries in PJM</v>
      </c>
      <c r="H3" s="1484" t="str">
        <f>TCOS!$F$5</f>
        <v>AEPTCo subsidiaries in PJM</v>
      </c>
      <c r="I3" s="1484" t="str">
        <f>TCOS!$F$5</f>
        <v>AEPTCo subsidiaries in PJM</v>
      </c>
      <c r="J3" s="1484" t="str">
        <f>TCOS!$F$5</f>
        <v>AEPTCo subsidiaries in PJM</v>
      </c>
      <c r="K3" s="1484" t="str">
        <f>TCOS!$F$5</f>
        <v>AEPTCo subsidiaries in PJM</v>
      </c>
      <c r="L3" s="1484" t="str">
        <f>TCOS!$F$5</f>
        <v>AEPTCo subsidiaries in PJM</v>
      </c>
      <c r="M3" s="1484" t="str">
        <f>TCOS!$F$5</f>
        <v>AEPTCo subsidiaries in PJM</v>
      </c>
      <c r="N3" s="1484" t="str">
        <f>TCOS!$F$5</f>
        <v>AEPTCo subsidiaries in PJM</v>
      </c>
      <c r="O3" s="1484" t="str">
        <f>TCOS!$F$5</f>
        <v>AEPTCo subsidiaries in PJM</v>
      </c>
      <c r="P3" s="155"/>
    </row>
    <row r="4" spans="1:16" ht="15">
      <c r="A4" s="1512" t="str">
        <f>"Cost of Service Formula Rate Using Actual/Projected FF1 Balances"</f>
        <v>Cost of Service Formula Rate Using Actual/Projected FF1 Balances</v>
      </c>
      <c r="B4" s="1512"/>
      <c r="C4" s="1512"/>
      <c r="D4" s="1512"/>
      <c r="E4" s="1512"/>
      <c r="F4" s="1512"/>
      <c r="G4" s="1512"/>
      <c r="H4" s="1512"/>
      <c r="I4" s="1512"/>
      <c r="J4" s="1512"/>
      <c r="K4" s="1512"/>
      <c r="L4" s="1512"/>
      <c r="M4" s="1512"/>
      <c r="N4" s="1512"/>
      <c r="O4" s="1512"/>
      <c r="P4" s="155"/>
    </row>
    <row r="5" spans="1:16" ht="15">
      <c r="A5" s="1512" t="s">
        <v>256</v>
      </c>
      <c r="B5" s="1512"/>
      <c r="C5" s="1512"/>
      <c r="D5" s="1512"/>
      <c r="E5" s="1512"/>
      <c r="F5" s="1512"/>
      <c r="G5" s="1512"/>
      <c r="H5" s="1512"/>
      <c r="I5" s="1512"/>
      <c r="J5" s="1512"/>
      <c r="K5" s="1512"/>
      <c r="L5" s="1512"/>
      <c r="M5" s="1512"/>
      <c r="N5" s="1512"/>
      <c r="O5" s="1512"/>
      <c r="P5" s="155"/>
    </row>
    <row r="6" spans="1:16" ht="15">
      <c r="A6" s="1513" t="str">
        <f>TCOS!F9</f>
        <v>AEP Ohio Transmission Company</v>
      </c>
      <c r="B6" s="1513"/>
      <c r="C6" s="1513"/>
      <c r="D6" s="1513"/>
      <c r="E6" s="1513"/>
      <c r="F6" s="1513"/>
      <c r="G6" s="1513"/>
      <c r="H6" s="1513"/>
      <c r="I6" s="1513"/>
      <c r="J6" s="1513"/>
      <c r="K6" s="1513"/>
      <c r="L6" s="1513"/>
      <c r="M6" s="1513"/>
      <c r="N6" s="1513"/>
      <c r="O6" s="1513"/>
      <c r="P6" s="155"/>
    </row>
    <row r="7" spans="1:16">
      <c r="P7" s="155"/>
    </row>
    <row r="8" spans="1:16" ht="20.25">
      <c r="A8" s="652"/>
      <c r="C8" s="392"/>
      <c r="N8" s="653" t="str">
        <f>"Page "&amp;P8&amp;" of "</f>
        <v xml:space="preserve">Page 1 of </v>
      </c>
      <c r="O8" s="654">
        <f>COUNT(P$8:P$56653)</f>
        <v>23</v>
      </c>
      <c r="P8" s="655">
        <v>1</v>
      </c>
    </row>
    <row r="9" spans="1:16" ht="18">
      <c r="C9" s="656"/>
      <c r="P9" s="155"/>
    </row>
    <row r="10" spans="1:16">
      <c r="P10" s="155"/>
    </row>
    <row r="11" spans="1:16" ht="18">
      <c r="B11" s="657" t="s">
        <v>463</v>
      </c>
      <c r="C11" s="1541" t="str">
        <f>"Calculate Return and Income Taxes with "&amp;F17&amp;" basis point ROE increase for Projects Qualified for Regional Billing."</f>
        <v>Calculate Return and Income Taxes with 0 basis point ROE increase for Projects Qualified for Regional Billing.</v>
      </c>
      <c r="D11" s="1542"/>
      <c r="E11" s="1542"/>
      <c r="F11" s="1542"/>
      <c r="G11" s="1542"/>
      <c r="H11" s="1542"/>
      <c r="P11" s="155"/>
    </row>
    <row r="12" spans="1:16" ht="18.75" customHeight="1">
      <c r="C12" s="1542"/>
      <c r="D12" s="1542"/>
      <c r="E12" s="1542"/>
      <c r="F12" s="1542"/>
      <c r="G12" s="1542"/>
      <c r="H12" s="1542"/>
      <c r="P12" s="155"/>
    </row>
    <row r="13" spans="1:16" ht="15.75" customHeight="1">
      <c r="C13" s="658"/>
      <c r="D13" s="658"/>
      <c r="E13" s="658"/>
      <c r="F13" s="658"/>
      <c r="G13" s="658"/>
      <c r="H13" s="658"/>
      <c r="P13" s="155"/>
    </row>
    <row r="14" spans="1:16" ht="15.75">
      <c r="C14" s="659" t="str">
        <f>"A.   Determine 'R' with hypothetical "&amp;F17&amp;" basis point increase in ROE for Identified Projects"</f>
        <v>A.   Determine 'R' with hypothetical 0 basis point increase in ROE for Identified Projects</v>
      </c>
      <c r="P14" s="155"/>
    </row>
    <row r="15" spans="1:16">
      <c r="P15" s="155"/>
    </row>
    <row r="16" spans="1:16">
      <c r="C16" s="660" t="str">
        <f>"   ROE w/o incentives  (TCOS, ln "&amp;TCOS!B235&amp;")"</f>
        <v xml:space="preserve">   ROE w/o incentives  (TCOS, ln 138)</v>
      </c>
      <c r="E16" s="661"/>
      <c r="F16" s="662">
        <f>TCOS!J235</f>
        <v>9.8500000000000004E-2</v>
      </c>
      <c r="G16" s="661"/>
      <c r="H16" s="663"/>
      <c r="I16" s="663"/>
      <c r="J16" s="664"/>
      <c r="K16" s="663"/>
      <c r="L16" s="663"/>
      <c r="M16" s="663"/>
      <c r="N16" s="663"/>
      <c r="O16" s="663"/>
      <c r="P16" s="664"/>
    </row>
    <row r="17" spans="3:16">
      <c r="C17" s="660" t="s">
        <v>43</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9.8500000000000004E-2</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438</v>
      </c>
      <c r="E20" s="669" t="s">
        <v>437</v>
      </c>
      <c r="F20" s="670" t="s">
        <v>44</v>
      </c>
      <c r="G20" s="661"/>
      <c r="H20" s="663"/>
      <c r="I20" s="663"/>
      <c r="J20" s="664"/>
    </row>
    <row r="21" spans="3:16" ht="13.5" thickBot="1">
      <c r="C21" s="671" t="s">
        <v>48</v>
      </c>
      <c r="D21" s="672">
        <f>TCOS!H233</f>
        <v>0.45253603444051677</v>
      </c>
      <c r="E21" s="673">
        <f>TCOS!J233</f>
        <v>4.0892881150499064E-2</v>
      </c>
      <c r="F21" s="674">
        <f>E21*D21</f>
        <v>1.8505502272694204E-2</v>
      </c>
      <c r="G21" s="661"/>
      <c r="H21" s="663"/>
      <c r="I21" s="675"/>
      <c r="J21" s="676"/>
      <c r="K21" s="439"/>
      <c r="L21" s="439"/>
      <c r="M21" s="439"/>
      <c r="N21" s="439"/>
      <c r="O21" s="439"/>
    </row>
    <row r="22" spans="3:16">
      <c r="C22" s="671" t="s">
        <v>49</v>
      </c>
      <c r="D22" s="672">
        <f>TCOS!H234</f>
        <v>0</v>
      </c>
      <c r="E22" s="673">
        <f>TCOS!J234</f>
        <v>0</v>
      </c>
      <c r="F22" s="674">
        <f>E22*D22</f>
        <v>0</v>
      </c>
      <c r="G22" s="677"/>
      <c r="H22" s="677"/>
      <c r="I22" s="678"/>
      <c r="J22" s="679"/>
      <c r="K22" s="1548" t="s">
        <v>231</v>
      </c>
      <c r="L22" s="1549"/>
      <c r="M22" s="1549"/>
      <c r="N22" s="1549"/>
      <c r="O22" s="1550"/>
      <c r="P22" s="679"/>
    </row>
    <row r="23" spans="3:16">
      <c r="C23" s="680" t="s">
        <v>29</v>
      </c>
      <c r="D23" s="672">
        <f>TCOS!H235</f>
        <v>0.54746396555948318</v>
      </c>
      <c r="E23" s="673">
        <f>+F18</f>
        <v>9.8500000000000004E-2</v>
      </c>
      <c r="F23" s="681">
        <f>E23*D23</f>
        <v>5.3925200607609095E-2</v>
      </c>
      <c r="G23" s="677"/>
      <c r="H23" s="677"/>
      <c r="I23" s="678"/>
      <c r="J23" s="679"/>
      <c r="K23" s="1551"/>
      <c r="L23" s="1552"/>
      <c r="M23" s="1552"/>
      <c r="N23" s="1552"/>
      <c r="O23" s="1553"/>
      <c r="P23" s="679"/>
    </row>
    <row r="24" spans="3:16">
      <c r="C24" s="660"/>
      <c r="D24" s="172"/>
      <c r="E24" s="682" t="s">
        <v>50</v>
      </c>
      <c r="F24" s="674">
        <f>SUM(F21:F23)</f>
        <v>7.2430702880303302E-2</v>
      </c>
      <c r="G24" s="677"/>
      <c r="H24" s="677"/>
      <c r="I24" s="678"/>
      <c r="J24" s="679"/>
      <c r="K24" s="683"/>
      <c r="L24" s="684"/>
      <c r="M24" s="685" t="s">
        <v>45</v>
      </c>
      <c r="N24" s="685" t="s">
        <v>46</v>
      </c>
      <c r="O24" s="686" t="s">
        <v>47</v>
      </c>
      <c r="P24" s="679"/>
    </row>
    <row r="25" spans="3:16">
      <c r="C25" s="313"/>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51</v>
      </c>
      <c r="L26" s="694">
        <f>+TCOS!L4</f>
        <v>2023</v>
      </c>
      <c r="M26" s="943">
        <v>0</v>
      </c>
      <c r="N26" s="943">
        <v>0</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4379823792.1344843</v>
      </c>
      <c r="G28" s="688"/>
      <c r="H28" s="688"/>
      <c r="I28" s="688"/>
      <c r="J28" s="688"/>
      <c r="K28" s="696"/>
      <c r="L28" s="696"/>
      <c r="M28" s="696"/>
      <c r="N28" s="696"/>
      <c r="O28" s="699"/>
      <c r="P28" s="688"/>
    </row>
    <row r="29" spans="3:16">
      <c r="C29" s="664" t="s">
        <v>276</v>
      </c>
      <c r="D29" s="700"/>
      <c r="F29" s="674">
        <f>F24</f>
        <v>7.2430702880303302E-2</v>
      </c>
      <c r="G29" s="688"/>
      <c r="H29" s="688"/>
      <c r="I29" s="688"/>
      <c r="J29" s="688"/>
      <c r="K29" s="688"/>
      <c r="L29" s="688"/>
      <c r="M29" s="688"/>
      <c r="N29" s="688"/>
      <c r="O29" s="688"/>
      <c r="P29" s="688"/>
    </row>
    <row r="30" spans="3:16">
      <c r="C30" s="701" t="s">
        <v>53</v>
      </c>
      <c r="D30" s="701"/>
      <c r="F30" s="678">
        <f>F28*F29</f>
        <v>317233715.75617611</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54</v>
      </c>
      <c r="D34" s="682"/>
      <c r="F34" s="706">
        <f>F30</f>
        <v>317233715.75617611</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0.20026899480178309</v>
      </c>
      <c r="G35" s="313"/>
      <c r="H35" s="708"/>
      <c r="I35" s="313"/>
      <c r="J35" s="426"/>
      <c r="K35" s="313"/>
      <c r="L35" s="313"/>
      <c r="M35" s="313"/>
      <c r="N35" s="313"/>
      <c r="O35" s="313"/>
      <c r="P35" s="426"/>
    </row>
    <row r="36" spans="2:16">
      <c r="C36" s="702" t="s">
        <v>55</v>
      </c>
      <c r="D36" s="538"/>
      <c r="F36" s="709">
        <f>F34*F35</f>
        <v>63532077.371723972</v>
      </c>
      <c r="G36" s="313"/>
      <c r="H36" s="708"/>
      <c r="I36" s="313"/>
      <c r="J36" s="426"/>
      <c r="K36" s="313"/>
      <c r="L36" s="313"/>
      <c r="M36" s="313"/>
      <c r="N36" s="313"/>
      <c r="O36" s="313"/>
      <c r="P36" s="426"/>
    </row>
    <row r="37" spans="2:16" ht="15">
      <c r="C37" s="660" t="s">
        <v>97</v>
      </c>
      <c r="D37" s="325"/>
      <c r="F37" s="710">
        <f>TCOS!L178</f>
        <v>0</v>
      </c>
      <c r="G37" s="325"/>
      <c r="H37" s="325"/>
      <c r="I37" s="325"/>
      <c r="J37" s="325"/>
      <c r="K37" s="325"/>
      <c r="L37" s="325"/>
      <c r="M37" s="325"/>
      <c r="N37" s="325"/>
      <c r="O37" s="230"/>
      <c r="P37" s="325"/>
    </row>
    <row r="38" spans="2:16" ht="15">
      <c r="C38" s="660" t="s">
        <v>552</v>
      </c>
      <c r="D38" s="325"/>
      <c r="F38" s="710">
        <f>TCOS!L179</f>
        <v>535775.53522034653</v>
      </c>
      <c r="G38" s="325"/>
      <c r="H38" s="325"/>
      <c r="I38" s="325"/>
      <c r="J38" s="325"/>
      <c r="K38" s="325"/>
      <c r="L38" s="325"/>
      <c r="M38" s="325"/>
      <c r="N38" s="325"/>
      <c r="O38" s="230"/>
      <c r="P38" s="325"/>
    </row>
    <row r="39" spans="2:16" ht="15.75" thickBot="1">
      <c r="C39" s="660" t="s">
        <v>554</v>
      </c>
      <c r="D39" s="325"/>
      <c r="F39" s="711">
        <f>TCOS!L180</f>
        <v>1279413.784523763</v>
      </c>
      <c r="G39" s="325"/>
      <c r="H39" s="325"/>
      <c r="I39" s="325"/>
      <c r="J39" s="325"/>
      <c r="K39" s="325"/>
      <c r="L39" s="325"/>
      <c r="M39" s="325"/>
      <c r="N39" s="325"/>
      <c r="O39" s="230"/>
      <c r="P39" s="325"/>
    </row>
    <row r="40" spans="2:16" ht="15">
      <c r="C40" s="702" t="s">
        <v>56</v>
      </c>
      <c r="D40" s="325"/>
      <c r="F40" s="710">
        <f>F36+F37+F38+F39</f>
        <v>65347266.691468082</v>
      </c>
      <c r="G40" s="946"/>
      <c r="H40" s="325"/>
      <c r="I40" s="325"/>
      <c r="J40" s="325"/>
      <c r="K40" s="325"/>
      <c r="L40" s="325"/>
      <c r="M40" s="325"/>
      <c r="N40" s="325"/>
      <c r="O40" s="188"/>
      <c r="P40" s="325"/>
    </row>
    <row r="41" spans="2:16" ht="12.75" customHeight="1">
      <c r="C41" s="239"/>
      <c r="D41" s="325"/>
      <c r="E41" s="325"/>
      <c r="F41" s="325"/>
      <c r="G41" s="325"/>
      <c r="H41" s="325"/>
      <c r="I41" s="325"/>
      <c r="J41" s="325"/>
      <c r="K41" s="325"/>
      <c r="L41" s="325"/>
      <c r="M41" s="325"/>
      <c r="N41" s="325"/>
      <c r="O41" s="188"/>
      <c r="P41" s="325"/>
    </row>
    <row r="42" spans="2:16" ht="18.75">
      <c r="B42" s="657" t="s">
        <v>464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2:16" ht="18.75" customHeight="1">
      <c r="C43" s="656" t="str">
        <f>"basis point ROE increase."</f>
        <v>basis point ROE increase.</v>
      </c>
      <c r="D43" s="325"/>
      <c r="E43" s="325"/>
      <c r="F43" s="325"/>
      <c r="G43" s="325"/>
      <c r="H43" s="325"/>
      <c r="I43" s="325"/>
      <c r="J43" s="325"/>
      <c r="K43" s="325"/>
      <c r="L43" s="325"/>
      <c r="M43" s="325"/>
      <c r="N43" s="325"/>
      <c r="O43" s="188"/>
      <c r="P43" s="325"/>
    </row>
    <row r="44" spans="2:16" ht="12.75" customHeight="1">
      <c r="C44" s="656"/>
      <c r="D44" s="325"/>
      <c r="E44" s="325"/>
      <c r="F44" s="325"/>
      <c r="G44" s="325"/>
      <c r="H44" s="325"/>
      <c r="I44" s="325"/>
      <c r="J44" s="325"/>
      <c r="K44" s="325"/>
      <c r="L44" s="325"/>
      <c r="M44" s="325"/>
      <c r="N44" s="325"/>
      <c r="O44" s="188"/>
      <c r="P44" s="325"/>
    </row>
    <row r="45" spans="2:16" ht="15.75">
      <c r="C45" s="659" t="s">
        <v>253</v>
      </c>
      <c r="D45" s="325"/>
      <c r="E45" s="325"/>
      <c r="F45" s="324"/>
      <c r="G45" s="325"/>
      <c r="H45" s="325"/>
      <c r="I45" s="325"/>
      <c r="J45" s="325"/>
      <c r="K45" s="325"/>
      <c r="L45" s="325"/>
      <c r="M45" s="325"/>
      <c r="N45" s="325"/>
      <c r="O45" s="188"/>
      <c r="P45" s="325"/>
    </row>
    <row r="46" spans="2:16">
      <c r="B46" s="347"/>
      <c r="C46" s="712"/>
      <c r="D46" s="713"/>
      <c r="E46" s="713"/>
      <c r="F46" s="713"/>
      <c r="G46" s="713"/>
      <c r="H46" s="713"/>
      <c r="I46" s="713"/>
      <c r="J46" s="713"/>
      <c r="K46" s="713"/>
      <c r="L46" s="713"/>
      <c r="M46" s="713"/>
      <c r="N46" s="713"/>
      <c r="O46" s="710"/>
      <c r="P46" s="713"/>
    </row>
    <row r="47" spans="2:16" ht="12.75" customHeight="1">
      <c r="B47" s="347"/>
      <c r="C47" s="660" t="str">
        <f>"   Annual Revenue Requirement  (TCOS, ln "&amp;TCOS!B13&amp;")"</f>
        <v xml:space="preserve">   Annual Revenue Requirement  (TCOS, ln 1)</v>
      </c>
      <c r="D47" s="713"/>
      <c r="E47" s="713"/>
      <c r="G47" s="710">
        <f>TCOS!L13</f>
        <v>816440548.21692109</v>
      </c>
      <c r="H47" s="947"/>
      <c r="I47" s="713"/>
      <c r="J47" s="713"/>
      <c r="K47" s="713"/>
      <c r="L47" s="713"/>
      <c r="M47" s="713"/>
      <c r="N47" s="713"/>
      <c r="O47" s="710"/>
      <c r="P47" s="713"/>
    </row>
    <row r="48" spans="2:16" ht="12.75" customHeight="1">
      <c r="B48" s="347"/>
      <c r="C48" s="712" t="str">
        <f>"   Lease Payments (TCOS, Ln "&amp;TCOS!B150&amp;")"</f>
        <v xml:space="preserve">   Lease Payments (TCOS, Ln 80)</v>
      </c>
      <c r="D48" s="713"/>
      <c r="E48" s="713"/>
      <c r="G48" s="710">
        <f>+TCOS!L150</f>
        <v>0</v>
      </c>
      <c r="H48" s="947"/>
      <c r="I48" s="713"/>
      <c r="J48" s="713"/>
      <c r="K48" s="713"/>
      <c r="L48" s="713"/>
      <c r="M48" s="713"/>
      <c r="N48" s="713"/>
      <c r="O48" s="710"/>
      <c r="P48" s="713"/>
    </row>
    <row r="49" spans="2:16">
      <c r="B49" s="347"/>
      <c r="C49" s="660" t="str">
        <f>"   Return  (TCOS, ln "&amp;TCOS!B183&amp;")"</f>
        <v xml:space="preserve">   Return  (TCOS, ln 109)</v>
      </c>
      <c r="D49" s="713"/>
      <c r="E49" s="713"/>
      <c r="G49" s="715">
        <f>TCOS!L183</f>
        <v>317233715.75617611</v>
      </c>
      <c r="H49" s="948"/>
      <c r="I49" s="713"/>
      <c r="J49" s="716"/>
      <c r="K49" s="716"/>
      <c r="L49" s="716"/>
      <c r="M49" s="716"/>
      <c r="N49" s="716"/>
      <c r="O49" s="710"/>
      <c r="P49" s="716"/>
    </row>
    <row r="50" spans="2:16">
      <c r="B50" s="347"/>
      <c r="C50" s="660" t="str">
        <f>"   Income Taxes  (TCOS, ln "&amp;TCOS!B181&amp;")"</f>
        <v xml:space="preserve">   Income Taxes  (TCOS, ln 108)</v>
      </c>
      <c r="D50" s="713"/>
      <c r="E50" s="713"/>
      <c r="G50" s="717">
        <f>F40</f>
        <v>65347266.691468082</v>
      </c>
      <c r="H50" s="947"/>
      <c r="I50" s="713"/>
      <c r="J50" s="718"/>
      <c r="K50" s="718"/>
      <c r="L50" s="718"/>
      <c r="M50" s="718"/>
      <c r="N50" s="718"/>
      <c r="O50" s="713"/>
      <c r="P50" s="718"/>
    </row>
    <row r="51" spans="2:16">
      <c r="B51" s="347"/>
      <c r="C51" s="725" t="s">
        <v>609</v>
      </c>
      <c r="D51" s="713"/>
      <c r="E51" s="713"/>
      <c r="G51" s="715">
        <f>G47-G49-G50-G48</f>
        <v>433859565.76927692</v>
      </c>
      <c r="H51" s="715"/>
      <c r="I51" s="713"/>
      <c r="J51" s="719"/>
      <c r="K51" s="719"/>
      <c r="L51" s="719"/>
      <c r="M51" s="719"/>
      <c r="N51" s="719"/>
      <c r="O51" s="719"/>
      <c r="P51" s="719"/>
    </row>
    <row r="52" spans="2:16">
      <c r="B52" s="347"/>
      <c r="C52" s="712"/>
      <c r="D52" s="713"/>
      <c r="E52" s="713"/>
      <c r="F52" s="710"/>
      <c r="G52" s="720"/>
      <c r="H52" s="721"/>
      <c r="I52" s="713"/>
      <c r="J52" s="721"/>
      <c r="K52" s="721"/>
      <c r="L52" s="721"/>
      <c r="M52" s="721"/>
      <c r="N52" s="721"/>
      <c r="O52" s="721"/>
      <c r="P52" s="721"/>
    </row>
    <row r="53" spans="2:16" ht="15.75">
      <c r="B53" s="347"/>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7"/>
      <c r="C54" s="712"/>
      <c r="D54" s="722"/>
      <c r="E54" s="722"/>
      <c r="F54" s="710"/>
      <c r="G54" s="720"/>
      <c r="H54" s="721"/>
      <c r="I54" s="721"/>
      <c r="J54" s="721"/>
      <c r="K54" s="721"/>
      <c r="L54" s="721"/>
      <c r="M54" s="721"/>
      <c r="N54" s="721"/>
      <c r="O54" s="721"/>
      <c r="P54" s="721"/>
    </row>
    <row r="55" spans="2:16">
      <c r="B55" s="347"/>
      <c r="C55" s="712" t="str">
        <f>C51</f>
        <v xml:space="preserve">   Annual Revenue Requirement, Less Return and Taxes</v>
      </c>
      <c r="D55" s="722"/>
      <c r="E55" s="722"/>
      <c r="G55" s="710">
        <f>G51</f>
        <v>433859565.76927692</v>
      </c>
      <c r="H55" s="710"/>
      <c r="I55" s="713"/>
      <c r="J55" s="713"/>
      <c r="K55" s="713"/>
      <c r="L55" s="713"/>
      <c r="M55" s="713"/>
      <c r="N55" s="713"/>
      <c r="O55" s="723"/>
      <c r="P55" s="713"/>
    </row>
    <row r="56" spans="2:16">
      <c r="B56" s="347"/>
      <c r="C56" s="664" t="s">
        <v>94</v>
      </c>
      <c r="D56" s="724"/>
      <c r="E56" s="725"/>
      <c r="G56" s="726">
        <f>F30</f>
        <v>317233715.75617611</v>
      </c>
      <c r="H56" s="949"/>
      <c r="I56" s="713"/>
      <c r="J56" s="725"/>
      <c r="K56" s="725"/>
      <c r="L56" s="725"/>
      <c r="M56" s="725"/>
      <c r="N56" s="725"/>
      <c r="O56" s="725"/>
      <c r="P56" s="725"/>
    </row>
    <row r="57" spans="2:16" ht="12.75" customHeight="1">
      <c r="B57" s="347"/>
      <c r="C57" s="660" t="s">
        <v>62</v>
      </c>
      <c r="D57" s="713"/>
      <c r="E57" s="713"/>
      <c r="G57" s="717">
        <f>F40</f>
        <v>65347266.691468082</v>
      </c>
      <c r="H57" s="947"/>
      <c r="I57" s="713"/>
      <c r="J57" s="426"/>
      <c r="K57" s="313"/>
      <c r="L57" s="313"/>
      <c r="M57" s="313"/>
      <c r="N57" s="313"/>
      <c r="O57" s="313"/>
      <c r="P57" s="426"/>
    </row>
    <row r="58" spans="2:16">
      <c r="B58" s="347"/>
      <c r="C58" s="725" t="str">
        <f>"   Annual Revenue Requirement, with "&amp;F17&amp;" Basis Point ROE increase"</f>
        <v xml:space="preserve">   Annual Revenue Requirement, with 0 Basis Point ROE increase</v>
      </c>
      <c r="D58" s="538"/>
      <c r="E58" s="313"/>
      <c r="G58" s="709">
        <f>SUM(G55:G57)</f>
        <v>816440548.21692121</v>
      </c>
      <c r="H58" s="950"/>
      <c r="I58" s="713"/>
      <c r="J58" s="426"/>
      <c r="K58" s="313"/>
      <c r="L58" s="313"/>
      <c r="M58" s="313"/>
      <c r="N58" s="313"/>
      <c r="O58" s="313"/>
      <c r="P58" s="426"/>
    </row>
    <row r="59" spans="2:16">
      <c r="B59" s="347"/>
      <c r="C59" s="660" t="str">
        <f>"   Depreciation &amp; Amortization (TCOS, ln "&amp;TCOS!B154&amp;")"</f>
        <v xml:space="preserve">   Depreciation &amp; Amortization (TCOS, ln 83)</v>
      </c>
      <c r="D59" s="538"/>
      <c r="E59" s="313"/>
      <c r="G59" s="727">
        <f>TCOS!L154</f>
        <v>151463253</v>
      </c>
      <c r="H59" s="950"/>
      <c r="I59" s="713"/>
      <c r="J59" s="426"/>
      <c r="K59" s="313"/>
      <c r="L59" s="313"/>
      <c r="M59" s="313"/>
      <c r="N59" s="313"/>
      <c r="O59" s="313"/>
      <c r="P59" s="426"/>
    </row>
    <row r="60" spans="2:16">
      <c r="B60" s="347"/>
      <c r="C60" s="725" t="str">
        <f>"   Annual Rev. Req, w/"&amp;F17&amp;" Basis Point ROE increase, less Depreciation"</f>
        <v xml:space="preserve">   Annual Rev. Req, w/0 Basis Point ROE increase, less Depreciation</v>
      </c>
      <c r="D60" s="538"/>
      <c r="E60" s="313"/>
      <c r="G60" s="709">
        <f>G58-G59</f>
        <v>664977295.21692121</v>
      </c>
      <c r="H60" s="950"/>
      <c r="I60" s="713"/>
      <c r="J60" s="426"/>
      <c r="K60" s="313"/>
      <c r="L60" s="313"/>
      <c r="M60" s="313"/>
      <c r="N60" s="313"/>
      <c r="O60" s="313"/>
      <c r="P60" s="426"/>
    </row>
    <row r="61" spans="2:16">
      <c r="B61" s="347"/>
      <c r="C61" s="313"/>
      <c r="D61" s="538"/>
      <c r="E61" s="313"/>
      <c r="F61" s="313"/>
      <c r="G61" s="313"/>
      <c r="H61" s="951"/>
      <c r="I61" s="713"/>
      <c r="J61" s="426"/>
      <c r="K61" s="313"/>
      <c r="L61" s="313"/>
      <c r="M61" s="313"/>
      <c r="N61" s="313"/>
      <c r="O61" s="313"/>
      <c r="P61" s="426"/>
    </row>
    <row r="62" spans="2:16" ht="15.75">
      <c r="B62" s="347"/>
      <c r="C62" s="659" t="str">
        <f>"C.   Determine FCR with hypothetical "&amp;F17&amp;" basis point ROE increase."</f>
        <v>C.   Determine FCR with hypothetical 0 basis point ROE increase.</v>
      </c>
      <c r="D62" s="538"/>
      <c r="E62" s="313"/>
      <c r="F62" s="313"/>
      <c r="G62" s="313"/>
      <c r="H62" s="951"/>
      <c r="I62" s="713"/>
      <c r="J62" s="426"/>
      <c r="K62" s="313"/>
      <c r="L62" s="313"/>
      <c r="M62" s="313"/>
      <c r="N62" s="313"/>
      <c r="O62" s="313"/>
      <c r="P62" s="426"/>
    </row>
    <row r="63" spans="2:16">
      <c r="B63" s="347"/>
      <c r="C63" s="313"/>
      <c r="D63" s="538"/>
      <c r="E63" s="313"/>
      <c r="F63" s="313"/>
      <c r="G63" s="313"/>
      <c r="H63" s="951"/>
      <c r="I63" s="713"/>
      <c r="J63" s="426"/>
      <c r="K63" s="313"/>
      <c r="L63" s="313"/>
      <c r="M63" s="313"/>
      <c r="N63" s="313"/>
      <c r="O63" s="313"/>
      <c r="P63" s="426"/>
    </row>
    <row r="64" spans="2:16">
      <c r="B64" s="347"/>
      <c r="C64" s="660" t="str">
        <f>"   Net Transmission Plant  (Projected TCOS, ln "&amp;TCOS!B79&amp;")"</f>
        <v xml:space="preserve">   Net Transmission Plant  (Projected TCOS, ln 33)</v>
      </c>
      <c r="D64" s="538"/>
      <c r="E64" s="313"/>
      <c r="G64" s="709">
        <f>TCOS!L79</f>
        <v>4601796948.8069229</v>
      </c>
      <c r="H64" s="950"/>
      <c r="I64" s="713"/>
      <c r="J64" s="426"/>
      <c r="K64" s="313"/>
      <c r="L64" s="313"/>
      <c r="M64" s="313"/>
      <c r="N64" s="313"/>
      <c r="O64" s="313"/>
      <c r="P64" s="426"/>
    </row>
    <row r="65" spans="2:17">
      <c r="B65" s="347"/>
      <c r="C65" s="725" t="str">
        <f>"   Annual Revenue Requirement, with "&amp;F17&amp;" Basis Point ROE increase"</f>
        <v xml:space="preserve">   Annual Revenue Requirement, with 0 Basis Point ROE increase</v>
      </c>
      <c r="D65" s="538"/>
      <c r="E65" s="313"/>
      <c r="G65" s="709">
        <f>G58</f>
        <v>816440548.21692121</v>
      </c>
      <c r="H65" s="950"/>
      <c r="I65" s="713"/>
      <c r="J65" s="426"/>
      <c r="K65" s="313"/>
      <c r="L65" s="313"/>
      <c r="M65" s="313"/>
      <c r="N65" s="313"/>
      <c r="O65" s="313"/>
      <c r="P65" s="426"/>
    </row>
    <row r="66" spans="2:17">
      <c r="B66" s="347"/>
      <c r="C66" s="725" t="str">
        <f>"   FCR with "&amp;F17&amp;" Basis Point increase in ROE"</f>
        <v xml:space="preserve">   FCR with 0 Basis Point increase in ROE</v>
      </c>
      <c r="D66" s="538"/>
      <c r="E66" s="313"/>
      <c r="G66" s="707">
        <f>IF(G64=0,0,G65/G64)</f>
        <v>0.17741776903663564</v>
      </c>
      <c r="H66" s="952"/>
      <c r="I66" s="713"/>
      <c r="J66" s="426"/>
      <c r="K66" s="313"/>
      <c r="L66" s="313"/>
      <c r="M66" s="313"/>
      <c r="N66" s="313"/>
      <c r="O66" s="313"/>
      <c r="P66" s="426"/>
    </row>
    <row r="67" spans="2:17">
      <c r="B67" s="347"/>
      <c r="C67" s="208"/>
      <c r="D67" s="538"/>
      <c r="E67" s="313"/>
      <c r="G67" s="347"/>
      <c r="H67" s="942"/>
      <c r="I67" s="713"/>
      <c r="J67" s="426"/>
      <c r="K67" s="313"/>
      <c r="L67" s="313"/>
      <c r="M67" s="313"/>
      <c r="N67" s="313"/>
      <c r="O67" s="313"/>
      <c r="P67" s="426"/>
    </row>
    <row r="68" spans="2:17">
      <c r="B68" s="347"/>
      <c r="C68" s="725" t="str">
        <f>"   Annual Rev. Req, w / "&amp;F17&amp;" Basis Point ROE increase, less Dep."</f>
        <v xml:space="preserve">   Annual Rev. Req, w / 0 Basis Point ROE increase, less Dep.</v>
      </c>
      <c r="D68" s="538"/>
      <c r="E68" s="313"/>
      <c r="G68" s="709">
        <f>G60</f>
        <v>664977295.21692121</v>
      </c>
      <c r="H68" s="950"/>
      <c r="I68" s="713"/>
      <c r="J68" s="426"/>
      <c r="K68" s="313"/>
      <c r="L68" s="313"/>
      <c r="M68" s="313"/>
      <c r="N68" s="313"/>
      <c r="O68" s="313"/>
      <c r="P68" s="426"/>
    </row>
    <row r="69" spans="2:17">
      <c r="B69" s="347"/>
      <c r="C69" s="725" t="str">
        <f>"   FCR with "&amp;F17&amp;" Basis Point ROE increase, less Depreciation"</f>
        <v xml:space="preserve">   FCR with 0 Basis Point ROE increase, less Depreciation</v>
      </c>
      <c r="D69" s="538"/>
      <c r="E69" s="313"/>
      <c r="G69" s="707">
        <f>IF(G64=0,0,G68/G64)</f>
        <v>0.14450383244078716</v>
      </c>
      <c r="H69" s="952"/>
      <c r="I69" s="728"/>
      <c r="J69" s="426"/>
      <c r="K69" s="313"/>
      <c r="L69" s="313"/>
      <c r="M69" s="313"/>
      <c r="N69" s="313"/>
      <c r="O69" s="313"/>
      <c r="P69" s="426"/>
    </row>
    <row r="70" spans="2:17">
      <c r="B70" s="347"/>
      <c r="C70" s="660" t="str">
        <f>"   FCR less Depreciation  (TCOS, ln "&amp;TCOS!B31&amp;")"</f>
        <v xml:space="preserve">   FCR less Depreciation  (TCOS, ln 10)</v>
      </c>
      <c r="D70" s="538"/>
      <c r="E70" s="313"/>
      <c r="G70" s="729">
        <f>TCOS!L31</f>
        <v>0.14450383244078713</v>
      </c>
      <c r="H70" s="953"/>
      <c r="I70" s="728"/>
      <c r="J70" s="426"/>
      <c r="K70" s="313"/>
      <c r="L70" s="313"/>
      <c r="M70" s="313"/>
      <c r="N70" s="313"/>
      <c r="O70" s="313"/>
      <c r="P70" s="426"/>
    </row>
    <row r="71" spans="2:17">
      <c r="B71" s="347"/>
      <c r="C71" s="725" t="str">
        <f>"   Incremental FCR with "&amp;F17&amp;" Basis Point ROE increase, less Depreciation"</f>
        <v xml:space="preserve">   Incremental FCR with 0 Basis Point ROE increase, less Depreciation</v>
      </c>
      <c r="D71" s="538"/>
      <c r="E71" s="313"/>
      <c r="G71" s="707">
        <f>G69-G70</f>
        <v>0</v>
      </c>
      <c r="H71" s="952"/>
      <c r="I71" s="713"/>
      <c r="J71" s="426"/>
      <c r="K71" s="313"/>
      <c r="L71" s="313"/>
      <c r="M71" s="313"/>
      <c r="N71" s="313"/>
      <c r="O71" s="313"/>
      <c r="P71" s="426"/>
    </row>
    <row r="72" spans="2:17">
      <c r="B72" s="347"/>
      <c r="C72" s="725"/>
      <c r="D72" s="538"/>
      <c r="E72" s="313"/>
      <c r="F72" s="707"/>
      <c r="G72" s="313"/>
      <c r="H72" s="951"/>
      <c r="I72" s="313"/>
      <c r="J72" s="426"/>
      <c r="K72" s="313"/>
      <c r="L72" s="313"/>
      <c r="M72" s="313"/>
      <c r="N72" s="313"/>
      <c r="O72" s="313"/>
      <c r="P72" s="426"/>
    </row>
    <row r="73" spans="2:17" ht="18.75">
      <c r="B73" s="657" t="s">
        <v>465</v>
      </c>
      <c r="C73" s="656" t="s">
        <v>63</v>
      </c>
      <c r="D73" s="538"/>
      <c r="E73" s="313"/>
      <c r="F73" s="707"/>
      <c r="G73" s="313"/>
      <c r="H73" s="951"/>
      <c r="I73" s="313"/>
      <c r="J73" s="426"/>
      <c r="K73" s="313"/>
      <c r="L73" s="313"/>
      <c r="M73" s="313"/>
      <c r="N73" s="313"/>
      <c r="O73" s="313"/>
      <c r="P73" s="426"/>
    </row>
    <row r="74" spans="2:17">
      <c r="B74" s="347"/>
      <c r="C74" s="725"/>
      <c r="D74" s="538"/>
      <c r="E74" s="313"/>
      <c r="F74" s="707"/>
      <c r="G74" s="313"/>
      <c r="H74" s="951"/>
      <c r="I74" s="313"/>
      <c r="J74" s="426"/>
      <c r="K74" s="313"/>
      <c r="L74" s="313"/>
      <c r="M74" s="313"/>
      <c r="N74" s="313"/>
      <c r="O74" s="313"/>
      <c r="P74" s="426"/>
    </row>
    <row r="75" spans="2:17">
      <c r="B75" s="347"/>
      <c r="C75" s="725" t="str">
        <f>+"Average Transmission Plant Balance for "&amp;TCOS!L4&amp;" TCOS, ln "&amp;TCOS!B63</f>
        <v>Average Transmission Plant Balance for 2023 TCOS, ln 19</v>
      </c>
      <c r="D75" s="1232"/>
      <c r="E75" s="347"/>
      <c r="F75" s="347"/>
      <c r="G75" s="489">
        <f>TCOS!L63</f>
        <v>5269420774.6530771</v>
      </c>
      <c r="I75" s="313"/>
      <c r="J75" s="426"/>
      <c r="K75" s="730"/>
      <c r="L75" s="313"/>
      <c r="M75" s="313"/>
      <c r="N75" s="313"/>
      <c r="O75" s="313"/>
      <c r="P75" s="426"/>
    </row>
    <row r="76" spans="2:17">
      <c r="B76" s="347"/>
      <c r="C76" s="725" t="str">
        <f>"Annual Depreciation and Amortization Expense (TCOS, ln "&amp;TCOS!B154&amp;")"</f>
        <v>Annual Depreciation and Amortization Expense (TCOS, ln 83)</v>
      </c>
      <c r="D76" s="538"/>
      <c r="E76" s="313"/>
      <c r="G76" s="489">
        <f>TCOS!L154</f>
        <v>151463253</v>
      </c>
      <c r="H76" s="708"/>
      <c r="I76" s="313"/>
      <c r="J76" s="426"/>
      <c r="K76" s="313"/>
      <c r="L76" s="313"/>
      <c r="M76" s="313"/>
      <c r="N76" s="313"/>
      <c r="O76" s="313"/>
      <c r="P76" s="426"/>
    </row>
    <row r="77" spans="2:17" ht="12.75" customHeight="1">
      <c r="B77" s="347"/>
      <c r="C77" s="725" t="s">
        <v>64</v>
      </c>
      <c r="D77" s="538"/>
      <c r="E77" s="313"/>
      <c r="G77" s="887">
        <f>G76/G75</f>
        <v>2.8743814448936637E-2</v>
      </c>
      <c r="H77" s="731"/>
      <c r="I77" s="153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J77" s="1538"/>
      <c r="K77" s="1538"/>
      <c r="L77" s="1538"/>
      <c r="M77" s="1538"/>
      <c r="N77" s="1538"/>
      <c r="O77" s="1538"/>
      <c r="P77" s="658"/>
      <c r="Q77" s="658"/>
    </row>
    <row r="78" spans="2:17">
      <c r="B78" s="347"/>
      <c r="C78" s="725" t="s">
        <v>65</v>
      </c>
      <c r="D78" s="538"/>
      <c r="E78" s="313"/>
      <c r="G78" s="732">
        <f>IF(G77=0,0,1/G77)</f>
        <v>34.79009377048753</v>
      </c>
      <c r="H78" s="708"/>
      <c r="I78" s="1538"/>
      <c r="J78" s="1538"/>
      <c r="K78" s="1538"/>
      <c r="L78" s="1538"/>
      <c r="M78" s="1538"/>
      <c r="N78" s="1538"/>
      <c r="O78" s="1538"/>
      <c r="P78" s="658"/>
      <c r="Q78" s="658"/>
    </row>
    <row r="79" spans="2:17">
      <c r="B79" s="347"/>
      <c r="C79" s="725" t="s">
        <v>590</v>
      </c>
      <c r="D79" s="538"/>
      <c r="E79" s="313"/>
      <c r="G79" s="733">
        <f>ROUND(G78,0)</f>
        <v>35</v>
      </c>
      <c r="H79" s="708"/>
      <c r="I79" s="1538"/>
      <c r="J79" s="1538"/>
      <c r="K79" s="1538"/>
      <c r="L79" s="1538"/>
      <c r="M79" s="1538"/>
      <c r="N79" s="1538"/>
      <c r="O79" s="1538"/>
      <c r="P79" s="658"/>
      <c r="Q79" s="658"/>
    </row>
    <row r="80" spans="2:17">
      <c r="B80" s="347"/>
      <c r="C80" s="725"/>
      <c r="D80" s="538"/>
      <c r="E80" s="313"/>
      <c r="G80" s="734"/>
      <c r="H80" s="708"/>
      <c r="I80" s="1538"/>
      <c r="J80" s="1538"/>
      <c r="K80" s="1538"/>
      <c r="L80" s="1538"/>
      <c r="M80" s="1538"/>
      <c r="N80" s="1538"/>
      <c r="O80" s="1538"/>
    </row>
    <row r="81" spans="1:16">
      <c r="C81" s="735"/>
      <c r="D81" s="736"/>
      <c r="E81" s="736"/>
      <c r="F81" s="736"/>
      <c r="G81" s="730"/>
      <c r="H81" s="730"/>
    </row>
    <row r="82" spans="1:16" ht="20.25">
      <c r="A82" s="737" t="str">
        <f>""&amp;A6&amp;" Worksheet J -  ATRR PROJECTED Calculation for PJM Projects Charged to Benefiting Zones"</f>
        <v>AEP Ohio Transmission Company Worksheet J -  ATRR PROJECTED Calculation for PJM Projects Charged to Benefiting Zones</v>
      </c>
      <c r="B82" s="347"/>
      <c r="C82" s="725"/>
      <c r="D82" s="538"/>
      <c r="E82" s="313"/>
      <c r="F82" s="707"/>
      <c r="G82" s="313"/>
      <c r="H82" s="708"/>
      <c r="K82" s="564"/>
      <c r="L82" s="564"/>
      <c r="M82" s="564"/>
      <c r="N82" s="653" t="str">
        <f>"Page "&amp;SUM(P$8:P82)&amp;" of "</f>
        <v xml:space="preserve">Page 2 of </v>
      </c>
      <c r="O82" s="654">
        <f>COUNT(P$8:P$56653)</f>
        <v>23</v>
      </c>
      <c r="P82" s="738">
        <v>1</v>
      </c>
    </row>
    <row r="83" spans="1:16">
      <c r="B83" s="347"/>
      <c r="C83" s="313"/>
      <c r="D83" s="538"/>
      <c r="E83" s="313"/>
      <c r="F83" s="313"/>
      <c r="G83" s="313"/>
      <c r="H83" s="708"/>
      <c r="I83" s="313"/>
      <c r="J83" s="426"/>
      <c r="K83" s="313"/>
      <c r="L83" s="313"/>
      <c r="M83" s="313"/>
      <c r="N83" s="313"/>
      <c r="O83" s="313"/>
      <c r="P83" s="426"/>
    </row>
    <row r="84" spans="1:16" ht="18">
      <c r="B84" s="657" t="s">
        <v>466</v>
      </c>
      <c r="C84" s="739" t="s">
        <v>85</v>
      </c>
      <c r="D84" s="538"/>
      <c r="E84" s="313"/>
      <c r="F84" s="313"/>
      <c r="G84" s="313"/>
      <c r="H84" s="708"/>
      <c r="I84" s="708"/>
      <c r="J84" s="730"/>
      <c r="K84" s="708"/>
      <c r="L84" s="708"/>
      <c r="M84" s="708"/>
      <c r="N84" s="708"/>
      <c r="O84" s="313"/>
    </row>
    <row r="85" spans="1:16" ht="18.75">
      <c r="B85" s="657"/>
      <c r="C85" s="656"/>
      <c r="D85" s="538"/>
      <c r="E85" s="313"/>
      <c r="F85" s="313"/>
      <c r="G85" s="313"/>
      <c r="H85" s="708"/>
      <c r="I85" s="708"/>
      <c r="J85" s="730"/>
      <c r="K85" s="708"/>
      <c r="L85" s="708"/>
      <c r="M85" s="708"/>
      <c r="N85" s="708"/>
      <c r="O85" s="313"/>
    </row>
    <row r="86" spans="1:16" ht="18.75">
      <c r="B86" s="657"/>
      <c r="C86" s="656" t="s">
        <v>86</v>
      </c>
      <c r="D86" s="538"/>
      <c r="E86" s="313"/>
      <c r="F86" s="313"/>
      <c r="G86" s="313"/>
      <c r="H86" s="708"/>
      <c r="I86" s="708"/>
      <c r="J86" s="730"/>
      <c r="K86" s="708"/>
      <c r="L86" s="708"/>
      <c r="M86" s="708"/>
      <c r="N86" s="708"/>
      <c r="O86" s="313"/>
    </row>
    <row r="87" spans="1:16" ht="15.75" thickBot="1">
      <c r="C87" s="239"/>
      <c r="D87" s="538"/>
      <c r="E87" s="313"/>
      <c r="F87" s="313"/>
      <c r="G87" s="313"/>
      <c r="H87" s="708"/>
      <c r="I87" s="708"/>
      <c r="J87" s="730"/>
      <c r="K87" s="708"/>
      <c r="L87" s="708"/>
      <c r="M87" s="708"/>
      <c r="N87" s="708"/>
      <c r="O87" s="313"/>
    </row>
    <row r="88" spans="1:16" ht="15.75">
      <c r="C88" s="659" t="s">
        <v>87</v>
      </c>
      <c r="D88" s="538"/>
      <c r="E88" s="313"/>
      <c r="F88" s="313"/>
      <c r="G88" s="806"/>
      <c r="H88" s="313" t="s">
        <v>66</v>
      </c>
      <c r="I88" s="313"/>
      <c r="J88" s="426"/>
      <c r="K88" s="740" t="s">
        <v>91</v>
      </c>
      <c r="L88" s="741"/>
      <c r="M88" s="742"/>
      <c r="N88" s="743">
        <f>IF(I94=0,0,VLOOKUP(I94,C101:O160,5))</f>
        <v>1349399.0267739149</v>
      </c>
      <c r="O88" s="313"/>
    </row>
    <row r="89" spans="1:16" ht="15.75">
      <c r="C89" s="659"/>
      <c r="D89" s="538"/>
      <c r="E89" s="313"/>
      <c r="F89" s="313"/>
      <c r="G89" s="313"/>
      <c r="H89" s="744"/>
      <c r="I89" s="744"/>
      <c r="J89" s="745"/>
      <c r="K89" s="746" t="s">
        <v>92</v>
      </c>
      <c r="L89" s="747"/>
      <c r="M89" s="426"/>
      <c r="N89" s="748">
        <f>IF(I94=0,0,VLOOKUP(I94,C101:O160,6))</f>
        <v>1349399.0267739149</v>
      </c>
      <c r="O89" s="313"/>
    </row>
    <row r="90" spans="1:16" ht="13.5" thickBot="1">
      <c r="C90" s="749" t="s">
        <v>88</v>
      </c>
      <c r="D90" s="1537" t="s">
        <v>807</v>
      </c>
      <c r="E90" s="1537"/>
      <c r="F90" s="1537"/>
      <c r="G90" s="1537"/>
      <c r="H90" s="1537"/>
      <c r="I90" s="1537"/>
      <c r="J90" s="730"/>
      <c r="K90" s="750" t="s">
        <v>230</v>
      </c>
      <c r="L90" s="751"/>
      <c r="M90" s="751"/>
      <c r="N90" s="752">
        <f>+N89-N88</f>
        <v>0</v>
      </c>
      <c r="O90" s="313"/>
    </row>
    <row r="91" spans="1:16">
      <c r="C91" s="753"/>
      <c r="D91" s="754"/>
      <c r="E91" s="734"/>
      <c r="F91" s="734"/>
      <c r="G91" s="755"/>
      <c r="H91" s="708"/>
      <c r="I91" s="708"/>
      <c r="J91" s="730"/>
      <c r="K91" s="708"/>
      <c r="L91" s="708"/>
      <c r="M91" s="708"/>
      <c r="N91" s="708"/>
      <c r="O91" s="313"/>
    </row>
    <row r="92" spans="1:16" ht="13.5" thickBot="1">
      <c r="C92" s="756"/>
      <c r="D92" s="757"/>
      <c r="E92" s="755"/>
      <c r="F92" s="755"/>
      <c r="G92" s="755"/>
      <c r="H92" s="755"/>
      <c r="I92" s="755"/>
      <c r="J92" s="758"/>
      <c r="K92" s="755"/>
      <c r="L92" s="755"/>
      <c r="M92" s="755"/>
      <c r="N92" s="755"/>
      <c r="O92" s="347"/>
    </row>
    <row r="93" spans="1:16" ht="13.5" thickBot="1">
      <c r="C93" s="759" t="s">
        <v>89</v>
      </c>
      <c r="D93" s="760"/>
      <c r="E93" s="760"/>
      <c r="F93" s="760"/>
      <c r="G93" s="760"/>
      <c r="H93" s="760"/>
      <c r="I93" s="761"/>
      <c r="J93" s="762"/>
      <c r="K93" s="313"/>
      <c r="L93" s="313"/>
      <c r="M93" s="313"/>
      <c r="N93" s="313"/>
      <c r="O93" s="763"/>
    </row>
    <row r="94" spans="1:16" ht="15">
      <c r="C94" s="764" t="s">
        <v>67</v>
      </c>
      <c r="D94" s="1291">
        <v>10402068</v>
      </c>
      <c r="E94" s="725" t="s">
        <v>68</v>
      </c>
      <c r="G94" s="765"/>
      <c r="H94" s="765"/>
      <c r="I94" s="766">
        <f>$L$26</f>
        <v>2023</v>
      </c>
      <c r="J94" s="554"/>
      <c r="K94" s="1536" t="s">
        <v>239</v>
      </c>
      <c r="L94" s="1536"/>
      <c r="M94" s="1536"/>
      <c r="N94" s="1536"/>
      <c r="O94" s="1536"/>
    </row>
    <row r="95" spans="1:16">
      <c r="C95" s="764" t="s">
        <v>70</v>
      </c>
      <c r="D95" s="1292">
        <v>2012</v>
      </c>
      <c r="E95" s="764" t="s">
        <v>71</v>
      </c>
      <c r="F95" s="765"/>
      <c r="H95" s="172"/>
      <c r="I95" s="810">
        <f>IF(G88="",0,$F$17)</f>
        <v>0</v>
      </c>
      <c r="J95" s="767"/>
      <c r="K95" s="730" t="s">
        <v>239</v>
      </c>
    </row>
    <row r="96" spans="1:16">
      <c r="C96" s="764" t="s">
        <v>72</v>
      </c>
      <c r="D96" s="1293">
        <v>12</v>
      </c>
      <c r="E96" s="764" t="s">
        <v>73</v>
      </c>
      <c r="F96" s="765"/>
      <c r="H96" s="172"/>
      <c r="I96" s="768">
        <f>$G$70</f>
        <v>0.14450383244078713</v>
      </c>
      <c r="J96" s="769"/>
      <c r="K96" s="172" t="str">
        <f>"          INPUT PROJECTED ARR (WITH &amp; WITHOUT INCENTIVES) FROM EACH PRIOR YEAR"</f>
        <v xml:space="preserve">          INPUT PROJECTED ARR (WITH &amp; WITHOUT INCENTIVES) FROM EACH PRIOR YEAR</v>
      </c>
    </row>
    <row r="97" spans="2:15">
      <c r="C97" s="764" t="s">
        <v>74</v>
      </c>
      <c r="D97" s="770">
        <f>$G$79</f>
        <v>35</v>
      </c>
      <c r="E97" s="764" t="s">
        <v>75</v>
      </c>
      <c r="F97" s="765"/>
      <c r="H97" s="172"/>
      <c r="I97" s="768">
        <f>IF(G88="",I96,$G$69)</f>
        <v>0.14450383244078713</v>
      </c>
      <c r="J97" s="771"/>
      <c r="K97" s="172" t="s">
        <v>152</v>
      </c>
    </row>
    <row r="98" spans="2:15" ht="13.5" thickBot="1">
      <c r="C98" s="764" t="s">
        <v>76</v>
      </c>
      <c r="D98" s="807" t="s">
        <v>808</v>
      </c>
      <c r="E98" s="772" t="s">
        <v>77</v>
      </c>
      <c r="F98" s="773"/>
      <c r="G98" s="774"/>
      <c r="H98" s="774"/>
      <c r="I98" s="752">
        <f>IF(D94=0,0,D94/D97)</f>
        <v>297201.94285714283</v>
      </c>
      <c r="J98" s="730"/>
      <c r="K98" s="730" t="s">
        <v>158</v>
      </c>
      <c r="L98" s="730"/>
      <c r="M98" s="730"/>
      <c r="N98" s="730"/>
      <c r="O98" s="426"/>
    </row>
    <row r="99" spans="2:15" ht="38.25">
      <c r="B99" s="845"/>
      <c r="C99" s="775" t="s">
        <v>67</v>
      </c>
      <c r="D99" s="776" t="s">
        <v>78</v>
      </c>
      <c r="E99" s="777" t="s">
        <v>79</v>
      </c>
      <c r="F99" s="776" t="s">
        <v>80</v>
      </c>
      <c r="G99" s="777" t="s">
        <v>151</v>
      </c>
      <c r="H99" s="778" t="s">
        <v>151</v>
      </c>
      <c r="I99" s="775" t="s">
        <v>90</v>
      </c>
      <c r="J99" s="779"/>
      <c r="K99" s="777" t="s">
        <v>160</v>
      </c>
      <c r="L99" s="780"/>
      <c r="M99" s="777" t="s">
        <v>160</v>
      </c>
      <c r="N99" s="780"/>
      <c r="O99" s="780"/>
    </row>
    <row r="100" spans="2:15" ht="13.5" thickBot="1">
      <c r="C100" s="781" t="s">
        <v>469</v>
      </c>
      <c r="D100" s="782" t="s">
        <v>470</v>
      </c>
      <c r="E100" s="781" t="s">
        <v>363</v>
      </c>
      <c r="F100" s="782" t="s">
        <v>470</v>
      </c>
      <c r="G100" s="783" t="s">
        <v>93</v>
      </c>
      <c r="H100" s="784" t="s">
        <v>95</v>
      </c>
      <c r="I100" s="785" t="s">
        <v>15</v>
      </c>
      <c r="J100" s="786"/>
      <c r="K100" s="783" t="s">
        <v>82</v>
      </c>
      <c r="L100" s="787"/>
      <c r="M100" s="783" t="s">
        <v>95</v>
      </c>
      <c r="N100" s="787"/>
      <c r="O100" s="787"/>
    </row>
    <row r="101" spans="2:15">
      <c r="C101" s="788">
        <f>IF(D95= "","-",D95)</f>
        <v>2012</v>
      </c>
      <c r="D101" s="736">
        <f>+D94</f>
        <v>10402068</v>
      </c>
      <c r="E101" s="789">
        <f>+I98/12*(12-D96)</f>
        <v>0</v>
      </c>
      <c r="F101" s="736">
        <f>+D101-E101</f>
        <v>10402068</v>
      </c>
      <c r="G101" s="985">
        <f>+$I$96*((D101+F101)/2)+E101</f>
        <v>1503138.6913096737</v>
      </c>
      <c r="H101" s="986">
        <f>$I$97*((D101+F101)/2)+E101</f>
        <v>1503138.6913096737</v>
      </c>
      <c r="I101" s="792">
        <f>+H101-G101</f>
        <v>0</v>
      </c>
      <c r="J101" s="792"/>
      <c r="K101" s="811">
        <v>747659.6392360396</v>
      </c>
      <c r="L101" s="793"/>
      <c r="M101" s="811">
        <v>747659.6392360396</v>
      </c>
      <c r="N101" s="793"/>
      <c r="O101" s="793"/>
    </row>
    <row r="102" spans="2:15">
      <c r="C102" s="788">
        <f>IF(D95="","-",+C101+1)</f>
        <v>2013</v>
      </c>
      <c r="D102" s="736">
        <f t="shared" ref="D102:D160" si="0">F101</f>
        <v>10402068</v>
      </c>
      <c r="E102" s="789">
        <f>IF(D102&gt;$I$98,$I$98,D102)</f>
        <v>297201.94285714283</v>
      </c>
      <c r="F102" s="736">
        <f t="shared" ref="F102:F160" si="1">+D102-E102</f>
        <v>10104866.057142857</v>
      </c>
      <c r="G102" s="794">
        <f t="shared" ref="G102:G160" si="2">+$I$96*((D102+F102)/2)+E102</f>
        <v>1778867.224290964</v>
      </c>
      <c r="H102" s="795">
        <f t="shared" ref="H102:H160" si="3">$I$97*((D102+F102)/2)+E102</f>
        <v>1778867.224290964</v>
      </c>
      <c r="I102" s="792">
        <f t="shared" ref="I102:I160" si="4">+H102-G102</f>
        <v>0</v>
      </c>
      <c r="J102" s="792"/>
      <c r="K102" s="1313">
        <v>1093780</v>
      </c>
      <c r="L102" s="796"/>
      <c r="M102" s="1313">
        <v>1093780</v>
      </c>
      <c r="N102" s="796"/>
      <c r="O102" s="796"/>
    </row>
    <row r="103" spans="2:15">
      <c r="C103" s="788">
        <f>IF(D95="","-",+C102+1)</f>
        <v>2014</v>
      </c>
      <c r="D103" s="736">
        <f t="shared" si="0"/>
        <v>10104866.057142857</v>
      </c>
      <c r="E103" s="789">
        <f t="shared" ref="E103:E160" si="5">IF(D103&gt;$I$98,$I$98,D103)</f>
        <v>297201.94285714283</v>
      </c>
      <c r="F103" s="736">
        <f t="shared" si="1"/>
        <v>9807664.1142857149</v>
      </c>
      <c r="G103" s="794">
        <f t="shared" si="2"/>
        <v>1735920.4045392592</v>
      </c>
      <c r="H103" s="795">
        <f t="shared" si="3"/>
        <v>1735920.4045392592</v>
      </c>
      <c r="I103" s="792">
        <f t="shared" si="4"/>
        <v>0</v>
      </c>
      <c r="J103" s="792"/>
      <c r="K103" s="812">
        <v>1212574</v>
      </c>
      <c r="L103" s="796"/>
      <c r="M103" s="812">
        <v>1212574</v>
      </c>
      <c r="N103" s="796"/>
      <c r="O103" s="796"/>
    </row>
    <row r="104" spans="2:15">
      <c r="C104" s="788">
        <f>IF(D95="","-",+C103+1)</f>
        <v>2015</v>
      </c>
      <c r="D104" s="736">
        <f t="shared" si="0"/>
        <v>9807664.1142857149</v>
      </c>
      <c r="E104" s="789">
        <f t="shared" si="5"/>
        <v>297201.94285714283</v>
      </c>
      <c r="F104" s="736">
        <f t="shared" si="1"/>
        <v>9510462.1714285724</v>
      </c>
      <c r="G104" s="794">
        <f t="shared" si="2"/>
        <v>1692973.5847875541</v>
      </c>
      <c r="H104" s="795">
        <f t="shared" si="3"/>
        <v>1692973.5847875541</v>
      </c>
      <c r="I104" s="792">
        <f t="shared" si="4"/>
        <v>0</v>
      </c>
      <c r="J104" s="792"/>
      <c r="K104" s="812">
        <v>1166857</v>
      </c>
      <c r="L104" s="796"/>
      <c r="M104" s="812">
        <v>1166857</v>
      </c>
      <c r="N104" s="796"/>
      <c r="O104" s="796"/>
    </row>
    <row r="105" spans="2:15">
      <c r="C105" s="788">
        <f>IF(D95="","-",+C104+1)</f>
        <v>2016</v>
      </c>
      <c r="D105" s="736">
        <f t="shared" si="0"/>
        <v>9510462.1714285724</v>
      </c>
      <c r="E105" s="789">
        <f t="shared" si="5"/>
        <v>297201.94285714283</v>
      </c>
      <c r="F105" s="736">
        <f t="shared" si="1"/>
        <v>9213260.2285714298</v>
      </c>
      <c r="G105" s="794">
        <f t="shared" si="2"/>
        <v>1650026.7650358493</v>
      </c>
      <c r="H105" s="795">
        <f t="shared" si="3"/>
        <v>1650026.7650358493</v>
      </c>
      <c r="I105" s="792">
        <f t="shared" si="4"/>
        <v>0</v>
      </c>
      <c r="J105" s="792"/>
      <c r="K105" s="812">
        <v>1271115</v>
      </c>
      <c r="L105" s="796"/>
      <c r="M105" s="812">
        <v>1271115</v>
      </c>
      <c r="N105" s="796"/>
      <c r="O105" s="796"/>
    </row>
    <row r="106" spans="2:15">
      <c r="C106" s="788">
        <f>IF(D95="","-",+C105+1)</f>
        <v>2017</v>
      </c>
      <c r="D106" s="736">
        <f t="shared" si="0"/>
        <v>9213260.2285714298</v>
      </c>
      <c r="E106" s="789">
        <f t="shared" si="5"/>
        <v>297201.94285714283</v>
      </c>
      <c r="F106" s="736">
        <f t="shared" si="1"/>
        <v>8916058.2857142873</v>
      </c>
      <c r="G106" s="794">
        <f t="shared" si="2"/>
        <v>1607079.9452841443</v>
      </c>
      <c r="H106" s="795">
        <f t="shared" si="3"/>
        <v>1607079.9452841443</v>
      </c>
      <c r="I106" s="792">
        <f t="shared" si="4"/>
        <v>0</v>
      </c>
      <c r="J106" s="792"/>
      <c r="K106" s="812">
        <v>1517047</v>
      </c>
      <c r="L106" s="796"/>
      <c r="M106" s="812">
        <v>1517047</v>
      </c>
      <c r="N106" s="796"/>
      <c r="O106" s="796"/>
    </row>
    <row r="107" spans="2:15">
      <c r="C107" s="1312">
        <f>IF(D95="","-",+C106+1)</f>
        <v>2018</v>
      </c>
      <c r="D107" s="736">
        <f t="shared" si="0"/>
        <v>8916058.2857142873</v>
      </c>
      <c r="E107" s="789">
        <f t="shared" si="5"/>
        <v>297201.94285714283</v>
      </c>
      <c r="F107" s="736">
        <f t="shared" si="1"/>
        <v>8618856.3428571448</v>
      </c>
      <c r="G107" s="794">
        <f t="shared" si="2"/>
        <v>1564133.1255324394</v>
      </c>
      <c r="H107" s="795">
        <f t="shared" si="3"/>
        <v>1564133.1255324394</v>
      </c>
      <c r="I107" s="792">
        <f t="shared" si="4"/>
        <v>0</v>
      </c>
      <c r="J107" s="792"/>
      <c r="K107" s="812">
        <v>1527231</v>
      </c>
      <c r="L107" s="796"/>
      <c r="M107" s="812">
        <v>1527231</v>
      </c>
      <c r="N107" s="796"/>
      <c r="O107" s="796"/>
    </row>
    <row r="108" spans="2:15">
      <c r="C108" s="1290">
        <f>IF(D95="","-",+C107+1)</f>
        <v>2019</v>
      </c>
      <c r="D108" s="736">
        <f t="shared" si="0"/>
        <v>8618856.3428571448</v>
      </c>
      <c r="E108" s="789">
        <f t="shared" si="5"/>
        <v>297201.94285714283</v>
      </c>
      <c r="F108" s="736">
        <f t="shared" si="1"/>
        <v>8321654.4000000022</v>
      </c>
      <c r="G108" s="794">
        <f t="shared" si="2"/>
        <v>1521186.3057807344</v>
      </c>
      <c r="H108" s="795">
        <f t="shared" si="3"/>
        <v>1521186.3057807344</v>
      </c>
      <c r="I108" s="792">
        <f t="shared" si="4"/>
        <v>0</v>
      </c>
      <c r="J108" s="792"/>
      <c r="K108" s="812"/>
      <c r="L108" s="796"/>
      <c r="M108" s="812"/>
      <c r="N108" s="796"/>
      <c r="O108" s="796"/>
    </row>
    <row r="109" spans="2:15">
      <c r="C109" s="788">
        <f>IF(D95="","-",+C108+1)</f>
        <v>2020</v>
      </c>
      <c r="D109" s="736">
        <f t="shared" si="0"/>
        <v>8321654.4000000022</v>
      </c>
      <c r="E109" s="789">
        <f t="shared" si="5"/>
        <v>297201.94285714283</v>
      </c>
      <c r="F109" s="736">
        <f t="shared" si="1"/>
        <v>8024452.4571428597</v>
      </c>
      <c r="G109" s="794">
        <f t="shared" si="2"/>
        <v>1478239.4860290296</v>
      </c>
      <c r="H109" s="795">
        <f t="shared" si="3"/>
        <v>1478239.4860290296</v>
      </c>
      <c r="I109" s="792">
        <f t="shared" si="4"/>
        <v>0</v>
      </c>
      <c r="J109" s="792"/>
      <c r="K109" s="812"/>
      <c r="L109" s="796"/>
      <c r="M109" s="812"/>
      <c r="N109" s="796"/>
      <c r="O109" s="796"/>
    </row>
    <row r="110" spans="2:15">
      <c r="C110" s="788">
        <f>IF(D95="","-",+C109+1)</f>
        <v>2021</v>
      </c>
      <c r="D110" s="736">
        <f t="shared" si="0"/>
        <v>8024452.4571428597</v>
      </c>
      <c r="E110" s="789">
        <f t="shared" si="5"/>
        <v>297201.94285714283</v>
      </c>
      <c r="F110" s="736">
        <f t="shared" si="1"/>
        <v>7727250.5142857172</v>
      </c>
      <c r="G110" s="794">
        <f t="shared" si="2"/>
        <v>1435292.6662773245</v>
      </c>
      <c r="H110" s="795">
        <f t="shared" si="3"/>
        <v>1435292.6662773245</v>
      </c>
      <c r="I110" s="792">
        <f t="shared" si="4"/>
        <v>0</v>
      </c>
      <c r="J110" s="792"/>
      <c r="K110" s="812"/>
      <c r="L110" s="796"/>
      <c r="M110" s="812"/>
      <c r="N110" s="796"/>
      <c r="O110" s="796"/>
    </row>
    <row r="111" spans="2:15">
      <c r="C111" s="788">
        <f>IF(D95="","-",+C110+1)</f>
        <v>2022</v>
      </c>
      <c r="D111" s="736">
        <f t="shared" si="0"/>
        <v>7727250.5142857172</v>
      </c>
      <c r="E111" s="789">
        <f t="shared" si="5"/>
        <v>297201.94285714283</v>
      </c>
      <c r="F111" s="736">
        <f t="shared" si="1"/>
        <v>7430048.5714285746</v>
      </c>
      <c r="G111" s="794">
        <f t="shared" si="2"/>
        <v>1392345.8465256197</v>
      </c>
      <c r="H111" s="795">
        <f t="shared" si="3"/>
        <v>1392345.8465256197</v>
      </c>
      <c r="I111" s="792">
        <f t="shared" si="4"/>
        <v>0</v>
      </c>
      <c r="J111" s="792"/>
      <c r="K111" s="812"/>
      <c r="L111" s="796"/>
      <c r="M111" s="812"/>
      <c r="N111" s="796"/>
      <c r="O111" s="796"/>
    </row>
    <row r="112" spans="2:15">
      <c r="C112" s="788">
        <f>IF(D95="","-",+C111+1)</f>
        <v>2023</v>
      </c>
      <c r="D112" s="736">
        <f t="shared" si="0"/>
        <v>7430048.5714285746</v>
      </c>
      <c r="E112" s="789">
        <f t="shared" si="5"/>
        <v>297201.94285714283</v>
      </c>
      <c r="F112" s="736">
        <f t="shared" si="1"/>
        <v>7132846.6285714321</v>
      </c>
      <c r="G112" s="794">
        <f t="shared" si="2"/>
        <v>1349399.0267739149</v>
      </c>
      <c r="H112" s="795">
        <f t="shared" si="3"/>
        <v>1349399.0267739149</v>
      </c>
      <c r="I112" s="792">
        <f t="shared" si="4"/>
        <v>0</v>
      </c>
      <c r="J112" s="792"/>
      <c r="K112" s="812"/>
      <c r="L112" s="796"/>
      <c r="M112" s="812"/>
      <c r="N112" s="796"/>
      <c r="O112" s="796"/>
    </row>
    <row r="113" spans="3:15">
      <c r="C113" s="788">
        <f>IF(D95="","-",+C112+1)</f>
        <v>2024</v>
      </c>
      <c r="D113" s="736">
        <f t="shared" si="0"/>
        <v>7132846.6285714321</v>
      </c>
      <c r="E113" s="789">
        <f t="shared" si="5"/>
        <v>297201.94285714283</v>
      </c>
      <c r="F113" s="736">
        <f t="shared" si="1"/>
        <v>6835644.6857142895</v>
      </c>
      <c r="G113" s="794">
        <f t="shared" si="2"/>
        <v>1306452.2070222099</v>
      </c>
      <c r="H113" s="795">
        <f t="shared" si="3"/>
        <v>1306452.2070222099</v>
      </c>
      <c r="I113" s="792">
        <f t="shared" si="4"/>
        <v>0</v>
      </c>
      <c r="J113" s="792"/>
      <c r="K113" s="812"/>
      <c r="L113" s="796"/>
      <c r="M113" s="812"/>
      <c r="N113" s="797"/>
      <c r="O113" s="796"/>
    </row>
    <row r="114" spans="3:15">
      <c r="C114" s="788">
        <f>IF(D95="","-",+C113+1)</f>
        <v>2025</v>
      </c>
      <c r="D114" s="736">
        <f t="shared" si="0"/>
        <v>6835644.6857142895</v>
      </c>
      <c r="E114" s="789">
        <f t="shared" si="5"/>
        <v>297201.94285714283</v>
      </c>
      <c r="F114" s="736">
        <f t="shared" si="1"/>
        <v>6538442.742857147</v>
      </c>
      <c r="G114" s="794">
        <f t="shared" si="2"/>
        <v>1263505.3872705051</v>
      </c>
      <c r="H114" s="795">
        <f t="shared" si="3"/>
        <v>1263505.3872705051</v>
      </c>
      <c r="I114" s="792">
        <f t="shared" si="4"/>
        <v>0</v>
      </c>
      <c r="J114" s="792"/>
      <c r="K114" s="812"/>
      <c r="L114" s="796"/>
      <c r="M114" s="812"/>
      <c r="N114" s="796"/>
      <c r="O114" s="796"/>
    </row>
    <row r="115" spans="3:15">
      <c r="C115" s="788">
        <f>IF(D95="","-",+C114+1)</f>
        <v>2026</v>
      </c>
      <c r="D115" s="736">
        <f t="shared" si="0"/>
        <v>6538442.742857147</v>
      </c>
      <c r="E115" s="789">
        <f t="shared" si="5"/>
        <v>297201.94285714283</v>
      </c>
      <c r="F115" s="736">
        <f t="shared" si="1"/>
        <v>6241240.8000000045</v>
      </c>
      <c r="G115" s="794">
        <f t="shared" si="2"/>
        <v>1220558.5675188</v>
      </c>
      <c r="H115" s="795">
        <f t="shared" si="3"/>
        <v>1220558.5675188</v>
      </c>
      <c r="I115" s="792">
        <f t="shared" si="4"/>
        <v>0</v>
      </c>
      <c r="J115" s="792"/>
      <c r="K115" s="812"/>
      <c r="L115" s="796"/>
      <c r="M115" s="812"/>
      <c r="N115" s="796"/>
      <c r="O115" s="796"/>
    </row>
    <row r="116" spans="3:15">
      <c r="C116" s="788">
        <f>IF(D95="","-",+C115+1)</f>
        <v>2027</v>
      </c>
      <c r="D116" s="736">
        <f t="shared" si="0"/>
        <v>6241240.8000000045</v>
      </c>
      <c r="E116" s="789">
        <f t="shared" si="5"/>
        <v>297201.94285714283</v>
      </c>
      <c r="F116" s="736">
        <f t="shared" si="1"/>
        <v>5944038.8571428619</v>
      </c>
      <c r="G116" s="794">
        <f t="shared" si="2"/>
        <v>1177611.7477670952</v>
      </c>
      <c r="H116" s="795">
        <f t="shared" si="3"/>
        <v>1177611.7477670952</v>
      </c>
      <c r="I116" s="792">
        <f t="shared" si="4"/>
        <v>0</v>
      </c>
      <c r="J116" s="792"/>
      <c r="K116" s="812"/>
      <c r="L116" s="796"/>
      <c r="M116" s="812"/>
      <c r="N116" s="796"/>
      <c r="O116" s="796"/>
    </row>
    <row r="117" spans="3:15">
      <c r="C117" s="788">
        <f>IF(D95="","-",+C116+1)</f>
        <v>2028</v>
      </c>
      <c r="D117" s="736">
        <f t="shared" si="0"/>
        <v>5944038.8571428619</v>
      </c>
      <c r="E117" s="789">
        <f t="shared" si="5"/>
        <v>297201.94285714283</v>
      </c>
      <c r="F117" s="736">
        <f t="shared" si="1"/>
        <v>5646836.9142857194</v>
      </c>
      <c r="G117" s="794">
        <f t="shared" si="2"/>
        <v>1134664.9280153904</v>
      </c>
      <c r="H117" s="795">
        <f t="shared" si="3"/>
        <v>1134664.9280153904</v>
      </c>
      <c r="I117" s="792">
        <f t="shared" si="4"/>
        <v>0</v>
      </c>
      <c r="J117" s="792"/>
      <c r="K117" s="812"/>
      <c r="L117" s="796"/>
      <c r="M117" s="812"/>
      <c r="N117" s="796"/>
      <c r="O117" s="796"/>
    </row>
    <row r="118" spans="3:15">
      <c r="C118" s="788">
        <f>IF(D95="","-",+C117+1)</f>
        <v>2029</v>
      </c>
      <c r="D118" s="736">
        <f t="shared" si="0"/>
        <v>5646836.9142857194</v>
      </c>
      <c r="E118" s="789">
        <f t="shared" si="5"/>
        <v>297201.94285714283</v>
      </c>
      <c r="F118" s="736">
        <f t="shared" si="1"/>
        <v>5349634.9714285769</v>
      </c>
      <c r="G118" s="794">
        <f t="shared" si="2"/>
        <v>1091718.1082636854</v>
      </c>
      <c r="H118" s="795">
        <f t="shared" si="3"/>
        <v>1091718.1082636854</v>
      </c>
      <c r="I118" s="792">
        <f t="shared" si="4"/>
        <v>0</v>
      </c>
      <c r="J118" s="792"/>
      <c r="K118" s="812"/>
      <c r="L118" s="796"/>
      <c r="M118" s="812"/>
      <c r="N118" s="796"/>
      <c r="O118" s="796"/>
    </row>
    <row r="119" spans="3:15">
      <c r="C119" s="788">
        <f>IF(D95="","-",+C118+1)</f>
        <v>2030</v>
      </c>
      <c r="D119" s="736">
        <f t="shared" si="0"/>
        <v>5349634.9714285769</v>
      </c>
      <c r="E119" s="789">
        <f t="shared" si="5"/>
        <v>297201.94285714283</v>
      </c>
      <c r="F119" s="736">
        <f t="shared" si="1"/>
        <v>5052433.0285714343</v>
      </c>
      <c r="G119" s="794">
        <f t="shared" si="2"/>
        <v>1048771.2885119806</v>
      </c>
      <c r="H119" s="795">
        <f t="shared" si="3"/>
        <v>1048771.2885119806</v>
      </c>
      <c r="I119" s="792">
        <f t="shared" si="4"/>
        <v>0</v>
      </c>
      <c r="J119" s="792"/>
      <c r="K119" s="812"/>
      <c r="L119" s="796"/>
      <c r="M119" s="812"/>
      <c r="N119" s="796"/>
      <c r="O119" s="796"/>
    </row>
    <row r="120" spans="3:15">
      <c r="C120" s="788">
        <f>IF(D95="","-",+C119+1)</f>
        <v>2031</v>
      </c>
      <c r="D120" s="736">
        <f t="shared" si="0"/>
        <v>5052433.0285714343</v>
      </c>
      <c r="E120" s="789">
        <f t="shared" si="5"/>
        <v>297201.94285714283</v>
      </c>
      <c r="F120" s="736">
        <f t="shared" si="1"/>
        <v>4755231.0857142918</v>
      </c>
      <c r="G120" s="794">
        <f t="shared" si="2"/>
        <v>1005824.4687602755</v>
      </c>
      <c r="H120" s="795">
        <f t="shared" si="3"/>
        <v>1005824.4687602755</v>
      </c>
      <c r="I120" s="792">
        <f t="shared" si="4"/>
        <v>0</v>
      </c>
      <c r="J120" s="792"/>
      <c r="K120" s="812"/>
      <c r="L120" s="796"/>
      <c r="M120" s="812"/>
      <c r="N120" s="796"/>
      <c r="O120" s="796"/>
    </row>
    <row r="121" spans="3:15">
      <c r="C121" s="788">
        <f>IF(D95="","-",+C120+1)</f>
        <v>2032</v>
      </c>
      <c r="D121" s="736">
        <f t="shared" si="0"/>
        <v>4755231.0857142918</v>
      </c>
      <c r="E121" s="789">
        <f t="shared" si="5"/>
        <v>297201.94285714283</v>
      </c>
      <c r="F121" s="736">
        <f t="shared" si="1"/>
        <v>4458029.1428571492</v>
      </c>
      <c r="G121" s="794">
        <f t="shared" si="2"/>
        <v>962877.6490085707</v>
      </c>
      <c r="H121" s="795">
        <f t="shared" si="3"/>
        <v>962877.6490085707</v>
      </c>
      <c r="I121" s="792">
        <f t="shared" si="4"/>
        <v>0</v>
      </c>
      <c r="J121" s="792"/>
      <c r="K121" s="812"/>
      <c r="L121" s="796"/>
      <c r="M121" s="812"/>
      <c r="N121" s="796"/>
      <c r="O121" s="796"/>
    </row>
    <row r="122" spans="3:15">
      <c r="C122" s="788">
        <f>IF(D95="","-",+C121+1)</f>
        <v>2033</v>
      </c>
      <c r="D122" s="736">
        <f t="shared" si="0"/>
        <v>4458029.1428571492</v>
      </c>
      <c r="E122" s="789">
        <f t="shared" si="5"/>
        <v>297201.94285714283</v>
      </c>
      <c r="F122" s="736">
        <f t="shared" si="1"/>
        <v>4160827.2000000062</v>
      </c>
      <c r="G122" s="794">
        <f t="shared" si="2"/>
        <v>919930.82925686566</v>
      </c>
      <c r="H122" s="795">
        <f t="shared" si="3"/>
        <v>919930.82925686566</v>
      </c>
      <c r="I122" s="792">
        <f t="shared" si="4"/>
        <v>0</v>
      </c>
      <c r="J122" s="792"/>
      <c r="K122" s="812"/>
      <c r="L122" s="796"/>
      <c r="M122" s="812"/>
      <c r="N122" s="796"/>
      <c r="O122" s="796"/>
    </row>
    <row r="123" spans="3:15">
      <c r="C123" s="788">
        <f>IF(D95="","-",+C122+1)</f>
        <v>2034</v>
      </c>
      <c r="D123" s="736">
        <f t="shared" si="0"/>
        <v>4160827.2000000062</v>
      </c>
      <c r="E123" s="789">
        <f t="shared" si="5"/>
        <v>297201.94285714283</v>
      </c>
      <c r="F123" s="736">
        <f t="shared" si="1"/>
        <v>3863625.2571428632</v>
      </c>
      <c r="G123" s="794">
        <f t="shared" si="2"/>
        <v>876984.00950516062</v>
      </c>
      <c r="H123" s="795">
        <f t="shared" si="3"/>
        <v>876984.00950516062</v>
      </c>
      <c r="I123" s="792">
        <f t="shared" si="4"/>
        <v>0</v>
      </c>
      <c r="J123" s="792"/>
      <c r="K123" s="812"/>
      <c r="L123" s="796"/>
      <c r="M123" s="812"/>
      <c r="N123" s="796"/>
      <c r="O123" s="796"/>
    </row>
    <row r="124" spans="3:15">
      <c r="C124" s="788">
        <f>IF(D95="","-",+C123+1)</f>
        <v>2035</v>
      </c>
      <c r="D124" s="736">
        <f t="shared" si="0"/>
        <v>3863625.2571428632</v>
      </c>
      <c r="E124" s="789">
        <f t="shared" si="5"/>
        <v>297201.94285714283</v>
      </c>
      <c r="F124" s="736">
        <f t="shared" si="1"/>
        <v>3566423.3142857202</v>
      </c>
      <c r="G124" s="794">
        <f t="shared" si="2"/>
        <v>834037.18975345581</v>
      </c>
      <c r="H124" s="795">
        <f t="shared" si="3"/>
        <v>834037.18975345581</v>
      </c>
      <c r="I124" s="792">
        <f t="shared" si="4"/>
        <v>0</v>
      </c>
      <c r="J124" s="792"/>
      <c r="K124" s="812"/>
      <c r="L124" s="796"/>
      <c r="M124" s="812"/>
      <c r="N124" s="796"/>
      <c r="O124" s="796"/>
    </row>
    <row r="125" spans="3:15">
      <c r="C125" s="788">
        <f>IF(D95="","-",+C124+1)</f>
        <v>2036</v>
      </c>
      <c r="D125" s="736">
        <f t="shared" si="0"/>
        <v>3566423.3142857202</v>
      </c>
      <c r="E125" s="789">
        <f t="shared" si="5"/>
        <v>297201.94285714283</v>
      </c>
      <c r="F125" s="736">
        <f t="shared" si="1"/>
        <v>3269221.3714285772</v>
      </c>
      <c r="G125" s="794">
        <f t="shared" si="2"/>
        <v>791090.37000175077</v>
      </c>
      <c r="H125" s="795">
        <f t="shared" si="3"/>
        <v>791090.37000175077</v>
      </c>
      <c r="I125" s="792">
        <f t="shared" si="4"/>
        <v>0</v>
      </c>
      <c r="J125" s="792"/>
      <c r="K125" s="812"/>
      <c r="L125" s="796"/>
      <c r="M125" s="812"/>
      <c r="N125" s="796"/>
      <c r="O125" s="796"/>
    </row>
    <row r="126" spans="3:15">
      <c r="C126" s="788">
        <f>IF(D95="","-",+C125+1)</f>
        <v>2037</v>
      </c>
      <c r="D126" s="736">
        <f t="shared" si="0"/>
        <v>3269221.3714285772</v>
      </c>
      <c r="E126" s="789">
        <f t="shared" si="5"/>
        <v>297201.94285714283</v>
      </c>
      <c r="F126" s="736">
        <f t="shared" si="1"/>
        <v>2972019.4285714342</v>
      </c>
      <c r="G126" s="794">
        <f t="shared" si="2"/>
        <v>748143.55025004572</v>
      </c>
      <c r="H126" s="795">
        <f t="shared" si="3"/>
        <v>748143.55025004572</v>
      </c>
      <c r="I126" s="792">
        <f t="shared" si="4"/>
        <v>0</v>
      </c>
      <c r="J126" s="792"/>
      <c r="K126" s="812"/>
      <c r="L126" s="796"/>
      <c r="M126" s="812"/>
      <c r="N126" s="796"/>
      <c r="O126" s="796"/>
    </row>
    <row r="127" spans="3:15">
      <c r="C127" s="788">
        <f>IF(D95="","-",+C126+1)</f>
        <v>2038</v>
      </c>
      <c r="D127" s="736">
        <f t="shared" si="0"/>
        <v>2972019.4285714342</v>
      </c>
      <c r="E127" s="789">
        <f t="shared" si="5"/>
        <v>297201.94285714283</v>
      </c>
      <c r="F127" s="736">
        <f t="shared" si="1"/>
        <v>2674817.4857142912</v>
      </c>
      <c r="G127" s="794">
        <f t="shared" si="2"/>
        <v>705196.73049834068</v>
      </c>
      <c r="H127" s="795">
        <f t="shared" si="3"/>
        <v>705196.73049834068</v>
      </c>
      <c r="I127" s="792">
        <f t="shared" si="4"/>
        <v>0</v>
      </c>
      <c r="J127" s="792"/>
      <c r="K127" s="812"/>
      <c r="L127" s="796"/>
      <c r="M127" s="812"/>
      <c r="N127" s="796"/>
      <c r="O127" s="796"/>
    </row>
    <row r="128" spans="3:15">
      <c r="C128" s="788">
        <f>IF(D95="","-",+C127+1)</f>
        <v>2039</v>
      </c>
      <c r="D128" s="736">
        <f t="shared" si="0"/>
        <v>2674817.4857142912</v>
      </c>
      <c r="E128" s="789">
        <f t="shared" si="5"/>
        <v>297201.94285714283</v>
      </c>
      <c r="F128" s="736">
        <f t="shared" si="1"/>
        <v>2377615.5428571482</v>
      </c>
      <c r="G128" s="794">
        <f t="shared" si="2"/>
        <v>662249.91074663587</v>
      </c>
      <c r="H128" s="795">
        <f t="shared" si="3"/>
        <v>662249.91074663587</v>
      </c>
      <c r="I128" s="792">
        <f t="shared" si="4"/>
        <v>0</v>
      </c>
      <c r="J128" s="792"/>
      <c r="K128" s="812"/>
      <c r="L128" s="796"/>
      <c r="M128" s="812"/>
      <c r="N128" s="796"/>
      <c r="O128" s="796"/>
    </row>
    <row r="129" spans="3:15">
      <c r="C129" s="788">
        <f>IF(D95="","-",+C128+1)</f>
        <v>2040</v>
      </c>
      <c r="D129" s="736">
        <f t="shared" si="0"/>
        <v>2377615.5428571482</v>
      </c>
      <c r="E129" s="789">
        <f t="shared" si="5"/>
        <v>297201.94285714283</v>
      </c>
      <c r="F129" s="736">
        <f t="shared" si="1"/>
        <v>2080413.6000000054</v>
      </c>
      <c r="G129" s="790">
        <f t="shared" si="2"/>
        <v>619303.09099493083</v>
      </c>
      <c r="H129" s="795">
        <f t="shared" si="3"/>
        <v>619303.09099493083</v>
      </c>
      <c r="I129" s="792">
        <f t="shared" si="4"/>
        <v>0</v>
      </c>
      <c r="J129" s="792"/>
      <c r="K129" s="812"/>
      <c r="L129" s="796"/>
      <c r="M129" s="812"/>
      <c r="N129" s="796"/>
      <c r="O129" s="796"/>
    </row>
    <row r="130" spans="3:15">
      <c r="C130" s="788">
        <f>IF(D95="","-",+C129+1)</f>
        <v>2041</v>
      </c>
      <c r="D130" s="736">
        <f t="shared" si="0"/>
        <v>2080413.6000000054</v>
      </c>
      <c r="E130" s="789">
        <f t="shared" si="5"/>
        <v>297201.94285714283</v>
      </c>
      <c r="F130" s="736">
        <f t="shared" si="1"/>
        <v>1783211.6571428627</v>
      </c>
      <c r="G130" s="794">
        <f t="shared" si="2"/>
        <v>576356.27124322578</v>
      </c>
      <c r="H130" s="795">
        <f t="shared" si="3"/>
        <v>576356.27124322578</v>
      </c>
      <c r="I130" s="792">
        <f t="shared" si="4"/>
        <v>0</v>
      </c>
      <c r="J130" s="792"/>
      <c r="K130" s="812"/>
      <c r="L130" s="796"/>
      <c r="M130" s="812"/>
      <c r="N130" s="796"/>
      <c r="O130" s="796"/>
    </row>
    <row r="131" spans="3:15">
      <c r="C131" s="788">
        <f>IF(D95="","-",+C130+1)</f>
        <v>2042</v>
      </c>
      <c r="D131" s="736">
        <f t="shared" si="0"/>
        <v>1783211.6571428627</v>
      </c>
      <c r="E131" s="789">
        <f t="shared" si="5"/>
        <v>297201.94285714283</v>
      </c>
      <c r="F131" s="736">
        <f t="shared" si="1"/>
        <v>1486009.7142857199</v>
      </c>
      <c r="G131" s="794">
        <f t="shared" si="2"/>
        <v>533409.45149152097</v>
      </c>
      <c r="H131" s="795">
        <f t="shared" si="3"/>
        <v>533409.45149152097</v>
      </c>
      <c r="I131" s="792">
        <f t="shared" si="4"/>
        <v>0</v>
      </c>
      <c r="J131" s="792"/>
      <c r="K131" s="812"/>
      <c r="L131" s="796"/>
      <c r="M131" s="812"/>
      <c r="N131" s="796"/>
      <c r="O131" s="796"/>
    </row>
    <row r="132" spans="3:15">
      <c r="C132" s="788">
        <f>IF(D95="","-",+C131+1)</f>
        <v>2043</v>
      </c>
      <c r="D132" s="736">
        <f t="shared" si="0"/>
        <v>1486009.7142857199</v>
      </c>
      <c r="E132" s="789">
        <f t="shared" si="5"/>
        <v>297201.94285714283</v>
      </c>
      <c r="F132" s="736">
        <f t="shared" si="1"/>
        <v>1188807.7714285771</v>
      </c>
      <c r="G132" s="794">
        <f t="shared" si="2"/>
        <v>490462.63173981593</v>
      </c>
      <c r="H132" s="795">
        <f t="shared" si="3"/>
        <v>490462.63173981593</v>
      </c>
      <c r="I132" s="792">
        <f t="shared" si="4"/>
        <v>0</v>
      </c>
      <c r="J132" s="792"/>
      <c r="K132" s="812"/>
      <c r="L132" s="796"/>
      <c r="M132" s="812"/>
      <c r="N132" s="796"/>
      <c r="O132" s="796"/>
    </row>
    <row r="133" spans="3:15">
      <c r="C133" s="788">
        <f>IF(D95="","-",+C132+1)</f>
        <v>2044</v>
      </c>
      <c r="D133" s="736">
        <f t="shared" si="0"/>
        <v>1188807.7714285771</v>
      </c>
      <c r="E133" s="789">
        <f t="shared" si="5"/>
        <v>297201.94285714283</v>
      </c>
      <c r="F133" s="736">
        <f t="shared" si="1"/>
        <v>891605.82857143437</v>
      </c>
      <c r="G133" s="794">
        <f t="shared" si="2"/>
        <v>447515.811988111</v>
      </c>
      <c r="H133" s="795">
        <f t="shared" si="3"/>
        <v>447515.811988111</v>
      </c>
      <c r="I133" s="792">
        <f t="shared" si="4"/>
        <v>0</v>
      </c>
      <c r="J133" s="792"/>
      <c r="K133" s="812"/>
      <c r="L133" s="796"/>
      <c r="M133" s="812"/>
      <c r="N133" s="796"/>
      <c r="O133" s="796"/>
    </row>
    <row r="134" spans="3:15">
      <c r="C134" s="788">
        <f>IF(D95="","-",+C133+1)</f>
        <v>2045</v>
      </c>
      <c r="D134" s="736">
        <f t="shared" si="0"/>
        <v>891605.82857143437</v>
      </c>
      <c r="E134" s="789">
        <f t="shared" si="5"/>
        <v>297201.94285714283</v>
      </c>
      <c r="F134" s="736">
        <f t="shared" si="1"/>
        <v>594403.88571429159</v>
      </c>
      <c r="G134" s="794">
        <f t="shared" si="2"/>
        <v>404568.99223640608</v>
      </c>
      <c r="H134" s="795">
        <f t="shared" si="3"/>
        <v>404568.99223640608</v>
      </c>
      <c r="I134" s="792">
        <f t="shared" si="4"/>
        <v>0</v>
      </c>
      <c r="J134" s="792"/>
      <c r="K134" s="812"/>
      <c r="L134" s="796"/>
      <c r="M134" s="812"/>
      <c r="N134" s="796"/>
      <c r="O134" s="796"/>
    </row>
    <row r="135" spans="3:15">
      <c r="C135" s="788">
        <f>IF(D95="","-",+C134+1)</f>
        <v>2046</v>
      </c>
      <c r="D135" s="736">
        <f t="shared" si="0"/>
        <v>594403.88571429159</v>
      </c>
      <c r="E135" s="789">
        <f t="shared" si="5"/>
        <v>297201.94285714283</v>
      </c>
      <c r="F135" s="736">
        <f t="shared" si="1"/>
        <v>297201.94285714877</v>
      </c>
      <c r="G135" s="794">
        <f t="shared" si="2"/>
        <v>361622.17248470115</v>
      </c>
      <c r="H135" s="795">
        <f t="shared" si="3"/>
        <v>361622.17248470115</v>
      </c>
      <c r="I135" s="792">
        <f t="shared" si="4"/>
        <v>0</v>
      </c>
      <c r="J135" s="792"/>
      <c r="K135" s="812"/>
      <c r="L135" s="796"/>
      <c r="M135" s="812"/>
      <c r="N135" s="796"/>
      <c r="O135" s="796"/>
    </row>
    <row r="136" spans="3:15">
      <c r="C136" s="788">
        <f>IF(D95="","-",+C135+1)</f>
        <v>2047</v>
      </c>
      <c r="D136" s="736">
        <f t="shared" si="0"/>
        <v>297201.94285714877</v>
      </c>
      <c r="E136" s="789">
        <f t="shared" si="5"/>
        <v>297201.94285714283</v>
      </c>
      <c r="F136" s="736">
        <f t="shared" si="1"/>
        <v>5.9371814131736755E-9</v>
      </c>
      <c r="G136" s="794">
        <f t="shared" si="2"/>
        <v>318675.35273299617</v>
      </c>
      <c r="H136" s="795">
        <f t="shared" si="3"/>
        <v>318675.35273299617</v>
      </c>
      <c r="I136" s="792">
        <f t="shared" si="4"/>
        <v>0</v>
      </c>
      <c r="J136" s="792"/>
      <c r="K136" s="812"/>
      <c r="L136" s="796"/>
      <c r="M136" s="812"/>
      <c r="N136" s="796"/>
      <c r="O136" s="796"/>
    </row>
    <row r="137" spans="3:15">
      <c r="C137" s="788">
        <f>IF(D95="","-",+C136+1)</f>
        <v>2048</v>
      </c>
      <c r="D137" s="736">
        <f t="shared" si="0"/>
        <v>5.9371814131736755E-9</v>
      </c>
      <c r="E137" s="789">
        <f t="shared" si="5"/>
        <v>5.9371814131736755E-9</v>
      </c>
      <c r="F137" s="736">
        <f t="shared" si="1"/>
        <v>0</v>
      </c>
      <c r="G137" s="794">
        <f t="shared" si="2"/>
        <v>6.3661541472235774E-9</v>
      </c>
      <c r="H137" s="795">
        <f t="shared" si="3"/>
        <v>6.3661541472235774E-9</v>
      </c>
      <c r="I137" s="792">
        <f t="shared" si="4"/>
        <v>0</v>
      </c>
      <c r="J137" s="792"/>
      <c r="K137" s="812"/>
      <c r="L137" s="796"/>
      <c r="M137" s="812"/>
      <c r="N137" s="796"/>
      <c r="O137" s="796"/>
    </row>
    <row r="138" spans="3:15">
      <c r="C138" s="788">
        <f>IF(D95="","-",+C137+1)</f>
        <v>2049</v>
      </c>
      <c r="D138" s="736">
        <f t="shared" si="0"/>
        <v>0</v>
      </c>
      <c r="E138" s="789">
        <f t="shared" si="5"/>
        <v>0</v>
      </c>
      <c r="F138" s="736">
        <f t="shared" si="1"/>
        <v>0</v>
      </c>
      <c r="G138" s="794">
        <f t="shared" si="2"/>
        <v>0</v>
      </c>
      <c r="H138" s="795">
        <f t="shared" si="3"/>
        <v>0</v>
      </c>
      <c r="I138" s="792">
        <f t="shared" si="4"/>
        <v>0</v>
      </c>
      <c r="J138" s="792"/>
      <c r="K138" s="812"/>
      <c r="L138" s="796"/>
      <c r="M138" s="812"/>
      <c r="N138" s="796"/>
      <c r="O138" s="796"/>
    </row>
    <row r="139" spans="3:15">
      <c r="C139" s="788">
        <f>IF(D95="","-",+C138+1)</f>
        <v>2050</v>
      </c>
      <c r="D139" s="736">
        <f t="shared" si="0"/>
        <v>0</v>
      </c>
      <c r="E139" s="789">
        <f t="shared" si="5"/>
        <v>0</v>
      </c>
      <c r="F139" s="736">
        <f t="shared" si="1"/>
        <v>0</v>
      </c>
      <c r="G139" s="794">
        <f t="shared" si="2"/>
        <v>0</v>
      </c>
      <c r="H139" s="795">
        <f t="shared" si="3"/>
        <v>0</v>
      </c>
      <c r="I139" s="792">
        <f t="shared" si="4"/>
        <v>0</v>
      </c>
      <c r="J139" s="792"/>
      <c r="K139" s="812"/>
      <c r="L139" s="796"/>
      <c r="M139" s="812"/>
      <c r="N139" s="796"/>
      <c r="O139" s="796"/>
    </row>
    <row r="140" spans="3:15">
      <c r="C140" s="788">
        <f>IF(D95="","-",+C139+1)</f>
        <v>2051</v>
      </c>
      <c r="D140" s="736">
        <f t="shared" si="0"/>
        <v>0</v>
      </c>
      <c r="E140" s="789">
        <f t="shared" si="5"/>
        <v>0</v>
      </c>
      <c r="F140" s="736">
        <f t="shared" si="1"/>
        <v>0</v>
      </c>
      <c r="G140" s="794">
        <f t="shared" si="2"/>
        <v>0</v>
      </c>
      <c r="H140" s="795">
        <f t="shared" si="3"/>
        <v>0</v>
      </c>
      <c r="I140" s="792">
        <f t="shared" si="4"/>
        <v>0</v>
      </c>
      <c r="J140" s="792"/>
      <c r="K140" s="812"/>
      <c r="L140" s="796"/>
      <c r="M140" s="812"/>
      <c r="N140" s="796"/>
      <c r="O140" s="796"/>
    </row>
    <row r="141" spans="3:15">
      <c r="C141" s="788">
        <f>IF(D95="","-",+C140+1)</f>
        <v>2052</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c r="C142" s="788">
        <f>IF(D95="","-",+C141+1)</f>
        <v>2053</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c r="C143" s="788">
        <f>IF(D95="","-",+C142+1)</f>
        <v>2054</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2055</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2056</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2057</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2058</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2059</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2060</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2061</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2062</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2063</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2064</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2065</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2066</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2067</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2068</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2069</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2070</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2071</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83</v>
      </c>
      <c r="D161" s="730"/>
      <c r="E161" s="730">
        <f>SUM(E101:E160)</f>
        <v>10402068</v>
      </c>
      <c r="F161" s="730"/>
      <c r="G161" s="730">
        <f>SUM(G101:G160)</f>
        <v>38210133.789228983</v>
      </c>
      <c r="H161" s="730">
        <f>SUM(H101:H160)</f>
        <v>38210133.789228983</v>
      </c>
      <c r="I161" s="730">
        <f>SUM(I101:I160)</f>
        <v>0</v>
      </c>
      <c r="J161" s="730"/>
      <c r="K161" s="730"/>
      <c r="L161" s="730"/>
      <c r="M161" s="730"/>
      <c r="N161" s="730"/>
      <c r="O161" s="313"/>
    </row>
    <row r="162" spans="1:16">
      <c r="D162" s="538"/>
      <c r="E162" s="313"/>
      <c r="F162" s="313"/>
      <c r="G162" s="313"/>
      <c r="H162" s="708"/>
      <c r="I162" s="708"/>
      <c r="J162" s="730"/>
      <c r="K162" s="708"/>
      <c r="L162" s="708"/>
      <c r="M162" s="708"/>
      <c r="N162" s="708"/>
      <c r="O162" s="313"/>
    </row>
    <row r="163" spans="1:16">
      <c r="C163" s="313" t="s">
        <v>13</v>
      </c>
      <c r="D163" s="538"/>
      <c r="E163" s="313"/>
      <c r="F163" s="313"/>
      <c r="G163" s="313"/>
      <c r="H163" s="708"/>
      <c r="I163" s="708"/>
      <c r="J163" s="730"/>
      <c r="K163" s="708"/>
      <c r="L163" s="708"/>
      <c r="M163" s="708"/>
      <c r="N163" s="708"/>
      <c r="O163" s="313"/>
    </row>
    <row r="164" spans="1:16">
      <c r="C164" s="313"/>
      <c r="D164" s="538"/>
      <c r="E164" s="313"/>
      <c r="F164" s="313"/>
      <c r="G164" s="313"/>
      <c r="H164" s="708"/>
      <c r="I164" s="708"/>
      <c r="J164" s="730"/>
      <c r="K164" s="708"/>
      <c r="L164" s="708"/>
      <c r="M164" s="708"/>
      <c r="N164" s="708"/>
      <c r="O164" s="313"/>
    </row>
    <row r="165" spans="1:16">
      <c r="C165" s="749" t="s">
        <v>14</v>
      </c>
      <c r="D165" s="736"/>
      <c r="E165" s="736"/>
      <c r="F165" s="736"/>
      <c r="G165" s="730"/>
      <c r="H165" s="730"/>
      <c r="I165" s="804"/>
      <c r="J165" s="804"/>
      <c r="K165" s="804"/>
      <c r="L165" s="804"/>
      <c r="M165" s="804"/>
      <c r="N165" s="804"/>
      <c r="O165" s="313"/>
    </row>
    <row r="166" spans="1:16">
      <c r="C166" s="735" t="s">
        <v>263</v>
      </c>
      <c r="D166" s="736"/>
      <c r="E166" s="736"/>
      <c r="F166" s="736"/>
      <c r="G166" s="730"/>
      <c r="H166" s="730"/>
      <c r="I166" s="804"/>
      <c r="J166" s="804"/>
      <c r="K166" s="804"/>
      <c r="L166" s="804"/>
      <c r="M166" s="804"/>
      <c r="N166" s="804"/>
      <c r="O166" s="313"/>
    </row>
    <row r="167" spans="1:16">
      <c r="C167" s="735" t="s">
        <v>84</v>
      </c>
      <c r="D167" s="736"/>
      <c r="E167" s="736"/>
      <c r="F167" s="736"/>
      <c r="G167" s="730"/>
      <c r="H167" s="730"/>
      <c r="I167" s="804"/>
      <c r="J167" s="804"/>
      <c r="K167" s="804"/>
      <c r="L167" s="804"/>
      <c r="M167" s="804"/>
      <c r="N167" s="804"/>
      <c r="O167" s="313"/>
    </row>
    <row r="168" spans="1:16">
      <c r="C168" s="735"/>
      <c r="D168" s="736"/>
      <c r="E168" s="736"/>
      <c r="F168" s="736"/>
      <c r="G168" s="730"/>
      <c r="H168" s="730"/>
      <c r="I168" s="804"/>
      <c r="J168" s="804"/>
      <c r="K168" s="804"/>
      <c r="L168" s="804"/>
      <c r="M168" s="804"/>
      <c r="N168" s="804"/>
      <c r="O168" s="313"/>
    </row>
    <row r="169" spans="1:16">
      <c r="C169" s="1547" t="s">
        <v>6</v>
      </c>
      <c r="D169" s="1547"/>
      <c r="E169" s="1547"/>
      <c r="F169" s="1547"/>
      <c r="G169" s="1547"/>
      <c r="H169" s="1547"/>
      <c r="I169" s="1547"/>
      <c r="J169" s="1547"/>
      <c r="K169" s="1547"/>
      <c r="L169" s="1547"/>
      <c r="M169" s="1547"/>
      <c r="N169" s="1547"/>
      <c r="O169" s="1547"/>
    </row>
    <row r="170" spans="1:16">
      <c r="C170" s="1547"/>
      <c r="D170" s="1547"/>
      <c r="E170" s="1547"/>
      <c r="F170" s="1547"/>
      <c r="G170" s="1547"/>
      <c r="H170" s="1547"/>
      <c r="I170" s="1547"/>
      <c r="J170" s="1547"/>
      <c r="K170" s="1547"/>
      <c r="L170" s="1547"/>
      <c r="M170" s="1547"/>
      <c r="N170" s="1547"/>
      <c r="O170" s="1547"/>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7"/>
      <c r="C172" s="725"/>
      <c r="D172" s="538"/>
      <c r="E172" s="313"/>
      <c r="F172" s="707"/>
      <c r="G172" s="313"/>
      <c r="H172" s="708"/>
      <c r="K172" s="564"/>
      <c r="L172" s="564"/>
      <c r="M172" s="564"/>
      <c r="N172" s="653" t="str">
        <f>"Page "&amp;SUM(P$8:P172)&amp;" of "</f>
        <v xml:space="preserve">Page 3 of </v>
      </c>
      <c r="O172" s="654">
        <f>COUNT(P$8:P$56653)</f>
        <v>23</v>
      </c>
      <c r="P172" s="172">
        <v>1</v>
      </c>
    </row>
    <row r="173" spans="1:16">
      <c r="B173" s="347"/>
      <c r="C173" s="313"/>
      <c r="D173" s="538"/>
      <c r="E173" s="313"/>
      <c r="F173" s="313"/>
      <c r="G173" s="313"/>
      <c r="H173" s="708"/>
      <c r="I173" s="313"/>
      <c r="J173" s="426"/>
      <c r="K173" s="313"/>
      <c r="L173" s="313"/>
      <c r="M173" s="313"/>
      <c r="N173" s="313"/>
      <c r="O173" s="313"/>
    </row>
    <row r="174" spans="1:16" ht="18">
      <c r="B174" s="657" t="s">
        <v>466</v>
      </c>
      <c r="C174" s="739" t="s">
        <v>85</v>
      </c>
      <c r="D174" s="538"/>
      <c r="E174" s="313"/>
      <c r="F174" s="313"/>
      <c r="G174" s="313"/>
      <c r="H174" s="708"/>
      <c r="I174" s="708"/>
      <c r="J174" s="730"/>
      <c r="K174" s="708"/>
      <c r="L174" s="708"/>
      <c r="M174" s="708"/>
      <c r="N174" s="708"/>
      <c r="O174" s="313"/>
    </row>
    <row r="175" spans="1:16" ht="18.75">
      <c r="B175" s="657"/>
      <c r="C175" s="656"/>
      <c r="D175" s="538"/>
      <c r="E175" s="313"/>
      <c r="F175" s="313"/>
      <c r="G175" s="313"/>
      <c r="H175" s="708"/>
      <c r="I175" s="708"/>
      <c r="J175" s="730"/>
      <c r="K175" s="708"/>
      <c r="L175" s="708"/>
      <c r="M175" s="708"/>
      <c r="N175" s="708"/>
      <c r="O175" s="313"/>
    </row>
    <row r="176" spans="1:16" ht="18.75">
      <c r="B176" s="657"/>
      <c r="C176" s="656" t="s">
        <v>86</v>
      </c>
      <c r="D176" s="538"/>
      <c r="E176" s="313"/>
      <c r="F176" s="313"/>
      <c r="G176" s="313"/>
      <c r="H176" s="708"/>
      <c r="I176" s="708"/>
      <c r="J176" s="730"/>
      <c r="K176" s="708"/>
      <c r="L176" s="708"/>
      <c r="M176" s="708"/>
      <c r="N176" s="708"/>
      <c r="O176" s="313"/>
    </row>
    <row r="177" spans="2:15" ht="15.75" thickBot="1">
      <c r="C177" s="239"/>
      <c r="D177" s="538"/>
      <c r="E177" s="313"/>
      <c r="F177" s="313"/>
      <c r="G177" s="313"/>
      <c r="H177" s="708"/>
      <c r="I177" s="708"/>
      <c r="J177" s="730"/>
      <c r="K177" s="708"/>
      <c r="L177" s="708"/>
      <c r="M177" s="708"/>
      <c r="N177" s="708"/>
      <c r="O177" s="313"/>
    </row>
    <row r="178" spans="2:15" ht="15.75">
      <c r="C178" s="659" t="s">
        <v>87</v>
      </c>
      <c r="D178" s="538"/>
      <c r="E178" s="313"/>
      <c r="F178" s="313"/>
      <c r="G178" s="806"/>
      <c r="H178" s="313" t="s">
        <v>66</v>
      </c>
      <c r="I178" s="313"/>
      <c r="J178" s="426"/>
      <c r="K178" s="740" t="s">
        <v>91</v>
      </c>
      <c r="L178" s="741"/>
      <c r="M178" s="742"/>
      <c r="N178" s="743">
        <f>IF(I184=0,0,VLOOKUP(I184,C191:O250,5))</f>
        <v>436308.72860310157</v>
      </c>
      <c r="O178" s="313"/>
    </row>
    <row r="179" spans="2:15" ht="15.75">
      <c r="C179" s="659"/>
      <c r="D179" s="538"/>
      <c r="E179" s="313"/>
      <c r="F179" s="313"/>
      <c r="G179" s="313"/>
      <c r="H179" s="744"/>
      <c r="I179" s="744"/>
      <c r="J179" s="745"/>
      <c r="K179" s="746" t="s">
        <v>92</v>
      </c>
      <c r="L179" s="747"/>
      <c r="M179" s="426"/>
      <c r="N179" s="748">
        <f>IF(I184=0,0,VLOOKUP(I184,C191:O250,6))</f>
        <v>436308.72860310157</v>
      </c>
      <c r="O179" s="313"/>
    </row>
    <row r="180" spans="2:15" ht="13.5" thickBot="1">
      <c r="C180" s="749" t="s">
        <v>88</v>
      </c>
      <c r="D180" s="1537" t="s">
        <v>809</v>
      </c>
      <c r="E180" s="1537"/>
      <c r="F180" s="1537"/>
      <c r="G180" s="1537"/>
      <c r="H180" s="1537"/>
      <c r="I180" s="1537"/>
      <c r="J180" s="730"/>
      <c r="K180" s="750" t="s">
        <v>230</v>
      </c>
      <c r="L180" s="751"/>
      <c r="M180" s="751"/>
      <c r="N180" s="752">
        <f>+N179-N178</f>
        <v>0</v>
      </c>
      <c r="O180" s="313"/>
    </row>
    <row r="181" spans="2:15">
      <c r="C181" s="753"/>
      <c r="D181" s="754"/>
      <c r="E181" s="734"/>
      <c r="F181" s="734"/>
      <c r="G181" s="755"/>
      <c r="H181" s="708"/>
      <c r="I181" s="708"/>
      <c r="J181" s="730"/>
      <c r="K181" s="708"/>
      <c r="L181" s="708"/>
      <c r="M181" s="708"/>
      <c r="N181" s="708"/>
      <c r="O181" s="313"/>
    </row>
    <row r="182" spans="2:15" ht="13.5" thickBot="1">
      <c r="C182" s="756"/>
      <c r="D182" s="757"/>
      <c r="E182" s="755"/>
      <c r="F182" s="755"/>
      <c r="G182" s="755"/>
      <c r="H182" s="755"/>
      <c r="I182" s="755"/>
      <c r="J182" s="758"/>
      <c r="K182" s="755"/>
      <c r="L182" s="755"/>
      <c r="M182" s="755"/>
      <c r="N182" s="755"/>
      <c r="O182" s="347"/>
    </row>
    <row r="183" spans="2:15" ht="13.5" thickBot="1">
      <c r="C183" s="759" t="s">
        <v>89</v>
      </c>
      <c r="D183" s="760"/>
      <c r="E183" s="760"/>
      <c r="F183" s="760"/>
      <c r="G183" s="760"/>
      <c r="H183" s="760"/>
      <c r="I183" s="761"/>
      <c r="J183" s="762"/>
      <c r="K183" s="313"/>
      <c r="L183" s="313"/>
      <c r="M183" s="313"/>
      <c r="N183" s="313"/>
      <c r="O183" s="763"/>
    </row>
    <row r="184" spans="2:15" ht="15">
      <c r="C184" s="764" t="s">
        <v>67</v>
      </c>
      <c r="D184" s="808">
        <v>3473922</v>
      </c>
      <c r="E184" s="725" t="s">
        <v>68</v>
      </c>
      <c r="G184" s="765"/>
      <c r="H184" s="765"/>
      <c r="I184" s="766">
        <f>$L$26</f>
        <v>2023</v>
      </c>
      <c r="J184" s="554"/>
      <c r="K184" s="1536" t="s">
        <v>239</v>
      </c>
      <c r="L184" s="1536"/>
      <c r="M184" s="1536"/>
      <c r="N184" s="1536"/>
      <c r="O184" s="1536"/>
    </row>
    <row r="185" spans="2:15">
      <c r="C185" s="764" t="s">
        <v>70</v>
      </c>
      <c r="D185" s="809">
        <v>2011</v>
      </c>
      <c r="E185" s="764" t="s">
        <v>71</v>
      </c>
      <c r="F185" s="765"/>
      <c r="H185" s="172"/>
      <c r="I185" s="810">
        <f>IF(G178="",0,$F$17)</f>
        <v>0</v>
      </c>
      <c r="J185" s="767"/>
      <c r="K185" s="730" t="s">
        <v>239</v>
      </c>
    </row>
    <row r="186" spans="2:15">
      <c r="C186" s="764" t="s">
        <v>72</v>
      </c>
      <c r="D186" s="808">
        <v>12</v>
      </c>
      <c r="E186" s="764" t="s">
        <v>73</v>
      </c>
      <c r="F186" s="765"/>
      <c r="H186" s="172"/>
      <c r="I186" s="768">
        <f>$G$70</f>
        <v>0.14450383244078713</v>
      </c>
      <c r="J186" s="769"/>
      <c r="K186" s="172" t="str">
        <f>"          INPUT PROJECTED ARR (WITH &amp; WITHOUT INCENTIVES) FROM EACH PRIOR YEAR"</f>
        <v xml:space="preserve">          INPUT PROJECTED ARR (WITH &amp; WITHOUT INCENTIVES) FROM EACH PRIOR YEAR</v>
      </c>
    </row>
    <row r="187" spans="2:15">
      <c r="C187" s="764" t="s">
        <v>74</v>
      </c>
      <c r="D187" s="770">
        <f>$G$79</f>
        <v>35</v>
      </c>
      <c r="E187" s="764" t="s">
        <v>75</v>
      </c>
      <c r="F187" s="765"/>
      <c r="H187" s="172"/>
      <c r="I187" s="768">
        <f>IF(G178="",I186,$G$69)</f>
        <v>0.14450383244078713</v>
      </c>
      <c r="J187" s="771"/>
      <c r="K187" s="172" t="s">
        <v>152</v>
      </c>
    </row>
    <row r="188" spans="2:15" ht="13.5" thickBot="1">
      <c r="C188" s="764" t="s">
        <v>76</v>
      </c>
      <c r="D188" s="807" t="s">
        <v>808</v>
      </c>
      <c r="E188" s="772" t="s">
        <v>77</v>
      </c>
      <c r="F188" s="773"/>
      <c r="G188" s="774"/>
      <c r="H188" s="774"/>
      <c r="I188" s="752">
        <f>IF(D184=0,0,D184/D187)</f>
        <v>99254.914285714287</v>
      </c>
      <c r="J188" s="730"/>
      <c r="K188" s="730" t="s">
        <v>158</v>
      </c>
      <c r="L188" s="730"/>
      <c r="M188" s="730"/>
      <c r="N188" s="730"/>
      <c r="O188" s="426"/>
    </row>
    <row r="189" spans="2:15" ht="38.25">
      <c r="B189" s="845"/>
      <c r="C189" s="775" t="s">
        <v>67</v>
      </c>
      <c r="D189" s="776" t="s">
        <v>78</v>
      </c>
      <c r="E189" s="777" t="s">
        <v>79</v>
      </c>
      <c r="F189" s="776" t="s">
        <v>80</v>
      </c>
      <c r="G189" s="777" t="s">
        <v>151</v>
      </c>
      <c r="H189" s="778" t="s">
        <v>151</v>
      </c>
      <c r="I189" s="775" t="s">
        <v>90</v>
      </c>
      <c r="J189" s="779"/>
      <c r="K189" s="777" t="s">
        <v>160</v>
      </c>
      <c r="L189" s="780"/>
      <c r="M189" s="777" t="s">
        <v>160</v>
      </c>
      <c r="N189" s="780"/>
      <c r="O189" s="780"/>
    </row>
    <row r="190" spans="2:15" ht="13.5" thickBot="1">
      <c r="C190" s="781" t="s">
        <v>469</v>
      </c>
      <c r="D190" s="782" t="s">
        <v>470</v>
      </c>
      <c r="E190" s="781" t="s">
        <v>363</v>
      </c>
      <c r="F190" s="782" t="s">
        <v>470</v>
      </c>
      <c r="G190" s="783" t="s">
        <v>93</v>
      </c>
      <c r="H190" s="784" t="s">
        <v>95</v>
      </c>
      <c r="I190" s="785" t="s">
        <v>15</v>
      </c>
      <c r="J190" s="786"/>
      <c r="K190" s="783" t="s">
        <v>82</v>
      </c>
      <c r="L190" s="787"/>
      <c r="M190" s="783" t="s">
        <v>95</v>
      </c>
      <c r="N190" s="787"/>
      <c r="O190" s="787"/>
    </row>
    <row r="191" spans="2:15">
      <c r="C191" s="788">
        <f>IF(D185= "","-",D185)</f>
        <v>2011</v>
      </c>
      <c r="D191" s="736">
        <f>+D184</f>
        <v>3473922</v>
      </c>
      <c r="E191" s="789">
        <f>+I188/12*(12-D186)</f>
        <v>0</v>
      </c>
      <c r="F191" s="736">
        <f>+D191-E191</f>
        <v>3473922</v>
      </c>
      <c r="G191" s="985">
        <f>+$I$96*((D191+F191)/2)+E191</f>
        <v>501995.04260036408</v>
      </c>
      <c r="H191" s="986">
        <f>$I$97*((D191+F191)/2)+E191</f>
        <v>501995.04260036408</v>
      </c>
      <c r="I191" s="792">
        <f>+H191-G191</f>
        <v>0</v>
      </c>
      <c r="J191" s="792"/>
      <c r="K191" s="811"/>
      <c r="L191" s="793"/>
      <c r="M191" s="811"/>
      <c r="N191" s="793"/>
      <c r="O191" s="793"/>
    </row>
    <row r="192" spans="2:15">
      <c r="C192" s="788">
        <f>IF(D185="","-",+C191+1)</f>
        <v>2012</v>
      </c>
      <c r="D192" s="736">
        <f t="shared" ref="D192:D250" si="6">F191</f>
        <v>3473922</v>
      </c>
      <c r="E192" s="789">
        <f>IF(D192&gt;$I$188,$I$188,D192)</f>
        <v>99254.914285714287</v>
      </c>
      <c r="F192" s="736">
        <f t="shared" ref="F192:F250" si="7">+D192-E192</f>
        <v>3374667.0857142857</v>
      </c>
      <c r="G192" s="794">
        <f t="shared" ref="G192:G250" si="8">+$I$96*((D192+F192)/2)+E192</f>
        <v>594078.59913464461</v>
      </c>
      <c r="H192" s="795">
        <f t="shared" ref="H192:H250" si="9">$I$97*((D192+F192)/2)+E192</f>
        <v>594078.59913464461</v>
      </c>
      <c r="I192" s="792">
        <f t="shared" ref="I192:I250" si="10">+H192-G192</f>
        <v>0</v>
      </c>
      <c r="J192" s="792"/>
      <c r="K192" s="812">
        <v>386386</v>
      </c>
      <c r="L192" s="796"/>
      <c r="M192" s="812">
        <v>386386</v>
      </c>
      <c r="N192" s="796"/>
      <c r="O192" s="796"/>
    </row>
    <row r="193" spans="3:15">
      <c r="C193" s="788">
        <f>IF(D185="","-",+C192+1)</f>
        <v>2013</v>
      </c>
      <c r="D193" s="736">
        <f t="shared" si="6"/>
        <v>3374667.0857142857</v>
      </c>
      <c r="E193" s="789">
        <f t="shared" ref="E193:E250" si="11">IF(D193&gt;$I$188,$I$188,D193)</f>
        <v>99254.914285714287</v>
      </c>
      <c r="F193" s="736">
        <f t="shared" si="7"/>
        <v>3275412.1714285715</v>
      </c>
      <c r="G193" s="794">
        <f t="shared" si="8"/>
        <v>579735.88363177702</v>
      </c>
      <c r="H193" s="795">
        <f t="shared" si="9"/>
        <v>579735.88363177702</v>
      </c>
      <c r="I193" s="792">
        <f t="shared" si="10"/>
        <v>0</v>
      </c>
      <c r="J193" s="792"/>
      <c r="K193" s="812">
        <v>410711</v>
      </c>
      <c r="L193" s="796"/>
      <c r="M193" s="812">
        <v>410711</v>
      </c>
      <c r="N193" s="796"/>
      <c r="O193" s="796"/>
    </row>
    <row r="194" spans="3:15">
      <c r="C194" s="788">
        <f>IF(D185="","-",+C193+1)</f>
        <v>2014</v>
      </c>
      <c r="D194" s="736">
        <f t="shared" si="6"/>
        <v>3275412.1714285715</v>
      </c>
      <c r="E194" s="789">
        <f t="shared" si="11"/>
        <v>99254.914285714287</v>
      </c>
      <c r="F194" s="736">
        <f t="shared" si="7"/>
        <v>3176157.2571428572</v>
      </c>
      <c r="G194" s="794">
        <f t="shared" si="8"/>
        <v>565393.16812890954</v>
      </c>
      <c r="H194" s="795">
        <f t="shared" si="9"/>
        <v>565393.16812890954</v>
      </c>
      <c r="I194" s="792">
        <f t="shared" si="10"/>
        <v>0</v>
      </c>
      <c r="J194" s="792"/>
      <c r="K194" s="812">
        <v>453040</v>
      </c>
      <c r="L194" s="796"/>
      <c r="M194" s="812">
        <v>453040</v>
      </c>
      <c r="N194" s="796"/>
      <c r="O194" s="796"/>
    </row>
    <row r="195" spans="3:15">
      <c r="C195" s="788">
        <f>IF(D185="","-",+C194+1)</f>
        <v>2015</v>
      </c>
      <c r="D195" s="736">
        <f t="shared" si="6"/>
        <v>3176157.2571428572</v>
      </c>
      <c r="E195" s="789">
        <f t="shared" si="11"/>
        <v>99254.914285714287</v>
      </c>
      <c r="F195" s="736">
        <f t="shared" si="7"/>
        <v>3076902.3428571429</v>
      </c>
      <c r="G195" s="794">
        <f t="shared" si="8"/>
        <v>551050.45262604195</v>
      </c>
      <c r="H195" s="795">
        <f t="shared" si="9"/>
        <v>551050.45262604195</v>
      </c>
      <c r="I195" s="792">
        <f t="shared" si="10"/>
        <v>0</v>
      </c>
      <c r="J195" s="792"/>
      <c r="K195" s="812">
        <v>435575</v>
      </c>
      <c r="L195" s="796"/>
      <c r="M195" s="812">
        <v>435575</v>
      </c>
      <c r="N195" s="796"/>
      <c r="O195" s="796"/>
    </row>
    <row r="196" spans="3:15">
      <c r="C196" s="788">
        <f>IF(D185="","-",+C195+1)</f>
        <v>2016</v>
      </c>
      <c r="D196" s="736">
        <f t="shared" si="6"/>
        <v>3076902.3428571429</v>
      </c>
      <c r="E196" s="789">
        <f t="shared" si="11"/>
        <v>99254.914285714287</v>
      </c>
      <c r="F196" s="736">
        <f t="shared" si="7"/>
        <v>2977647.4285714286</v>
      </c>
      <c r="G196" s="794">
        <f t="shared" si="8"/>
        <v>536707.73712317448</v>
      </c>
      <c r="H196" s="795">
        <f t="shared" si="9"/>
        <v>536707.73712317448</v>
      </c>
      <c r="I196" s="792">
        <f t="shared" si="10"/>
        <v>0</v>
      </c>
      <c r="J196" s="792"/>
      <c r="K196" s="812">
        <v>473027</v>
      </c>
      <c r="L196" s="796"/>
      <c r="M196" s="812">
        <v>473027</v>
      </c>
      <c r="N196" s="796"/>
      <c r="O196" s="796"/>
    </row>
    <row r="197" spans="3:15">
      <c r="C197" s="788">
        <f>IF(D185="","-",+C196+1)</f>
        <v>2017</v>
      </c>
      <c r="D197" s="736">
        <f t="shared" si="6"/>
        <v>2977647.4285714286</v>
      </c>
      <c r="E197" s="789">
        <f t="shared" si="11"/>
        <v>99254.914285714287</v>
      </c>
      <c r="F197" s="736">
        <f t="shared" si="7"/>
        <v>2878392.5142857144</v>
      </c>
      <c r="G197" s="794">
        <f t="shared" si="8"/>
        <v>522365.02162030683</v>
      </c>
      <c r="H197" s="795">
        <f t="shared" si="9"/>
        <v>522365.02162030683</v>
      </c>
      <c r="I197" s="792">
        <f t="shared" si="10"/>
        <v>0</v>
      </c>
      <c r="J197" s="792"/>
      <c r="K197" s="812">
        <v>562920</v>
      </c>
      <c r="L197" s="796"/>
      <c r="M197" s="812">
        <v>562920</v>
      </c>
      <c r="N197" s="796"/>
      <c r="O197" s="796"/>
    </row>
    <row r="198" spans="3:15">
      <c r="C198" s="1312">
        <f>IF(D185="","-",+C197+1)</f>
        <v>2018</v>
      </c>
      <c r="D198" s="736">
        <f t="shared" si="6"/>
        <v>2878392.5142857144</v>
      </c>
      <c r="E198" s="789">
        <f t="shared" si="11"/>
        <v>99254.914285714287</v>
      </c>
      <c r="F198" s="736">
        <f t="shared" si="7"/>
        <v>2779137.6</v>
      </c>
      <c r="G198" s="794">
        <f t="shared" si="8"/>
        <v>508022.30611743935</v>
      </c>
      <c r="H198" s="795">
        <f t="shared" si="9"/>
        <v>508022.30611743935</v>
      </c>
      <c r="I198" s="792">
        <f t="shared" si="10"/>
        <v>0</v>
      </c>
      <c r="J198" s="792"/>
      <c r="K198" s="812">
        <v>499743</v>
      </c>
      <c r="L198" s="796"/>
      <c r="M198" s="812">
        <v>499743</v>
      </c>
      <c r="N198" s="796"/>
      <c r="O198" s="796"/>
    </row>
    <row r="199" spans="3:15">
      <c r="C199" s="1290">
        <f>IF(D185="","-",+C198+1)</f>
        <v>2019</v>
      </c>
      <c r="D199" s="736">
        <f t="shared" si="6"/>
        <v>2779137.6</v>
      </c>
      <c r="E199" s="789">
        <f t="shared" si="11"/>
        <v>99254.914285714287</v>
      </c>
      <c r="F199" s="736">
        <f t="shared" si="7"/>
        <v>2679882.6857142858</v>
      </c>
      <c r="G199" s="794">
        <f t="shared" si="8"/>
        <v>493679.59061457176</v>
      </c>
      <c r="H199" s="795">
        <f t="shared" si="9"/>
        <v>493679.59061457176</v>
      </c>
      <c r="I199" s="792">
        <f t="shared" si="10"/>
        <v>0</v>
      </c>
      <c r="J199" s="792"/>
      <c r="K199" s="812"/>
      <c r="L199" s="796"/>
      <c r="M199" s="812"/>
      <c r="N199" s="796"/>
      <c r="O199" s="796"/>
    </row>
    <row r="200" spans="3:15">
      <c r="C200" s="788">
        <f>IF(D185="","-",+C199+1)</f>
        <v>2020</v>
      </c>
      <c r="D200" s="736">
        <f t="shared" si="6"/>
        <v>2679882.6857142858</v>
      </c>
      <c r="E200" s="789">
        <f t="shared" si="11"/>
        <v>99254.914285714287</v>
      </c>
      <c r="F200" s="736">
        <f t="shared" si="7"/>
        <v>2580627.7714285715</v>
      </c>
      <c r="G200" s="794">
        <f t="shared" si="8"/>
        <v>479336.87511170428</v>
      </c>
      <c r="H200" s="795">
        <f t="shared" si="9"/>
        <v>479336.87511170428</v>
      </c>
      <c r="I200" s="792">
        <f t="shared" si="10"/>
        <v>0</v>
      </c>
      <c r="J200" s="792"/>
      <c r="K200" s="812"/>
      <c r="L200" s="796"/>
      <c r="M200" s="812"/>
      <c r="N200" s="796"/>
      <c r="O200" s="796"/>
    </row>
    <row r="201" spans="3:15">
      <c r="C201" s="788">
        <f>IF(D185="","-",+C200+1)</f>
        <v>2021</v>
      </c>
      <c r="D201" s="736">
        <f t="shared" si="6"/>
        <v>2580627.7714285715</v>
      </c>
      <c r="E201" s="789">
        <f t="shared" si="11"/>
        <v>99254.914285714287</v>
      </c>
      <c r="F201" s="736">
        <f t="shared" si="7"/>
        <v>2481372.8571428573</v>
      </c>
      <c r="G201" s="794">
        <f t="shared" si="8"/>
        <v>464994.15960883669</v>
      </c>
      <c r="H201" s="795">
        <f t="shared" si="9"/>
        <v>464994.15960883669</v>
      </c>
      <c r="I201" s="792">
        <f t="shared" si="10"/>
        <v>0</v>
      </c>
      <c r="J201" s="792"/>
      <c r="K201" s="812"/>
      <c r="L201" s="796"/>
      <c r="M201" s="812"/>
      <c r="N201" s="796"/>
      <c r="O201" s="796"/>
    </row>
    <row r="202" spans="3:15">
      <c r="C202" s="788">
        <f>IF(D185="","-",+C201+1)</f>
        <v>2022</v>
      </c>
      <c r="D202" s="736">
        <f t="shared" si="6"/>
        <v>2481372.8571428573</v>
      </c>
      <c r="E202" s="789">
        <f t="shared" si="11"/>
        <v>99254.914285714287</v>
      </c>
      <c r="F202" s="736">
        <f t="shared" si="7"/>
        <v>2382117.942857143</v>
      </c>
      <c r="G202" s="794">
        <f t="shared" si="8"/>
        <v>450651.44410596922</v>
      </c>
      <c r="H202" s="795">
        <f t="shared" si="9"/>
        <v>450651.44410596922</v>
      </c>
      <c r="I202" s="792">
        <f t="shared" si="10"/>
        <v>0</v>
      </c>
      <c r="J202" s="792"/>
      <c r="K202" s="812"/>
      <c r="L202" s="796"/>
      <c r="M202" s="812"/>
      <c r="N202" s="796"/>
      <c r="O202" s="796"/>
    </row>
    <row r="203" spans="3:15">
      <c r="C203" s="788">
        <f>IF(D185="","-",+C202+1)</f>
        <v>2023</v>
      </c>
      <c r="D203" s="736">
        <f t="shared" si="6"/>
        <v>2382117.942857143</v>
      </c>
      <c r="E203" s="789">
        <f t="shared" si="11"/>
        <v>99254.914285714287</v>
      </c>
      <c r="F203" s="736">
        <f t="shared" si="7"/>
        <v>2282863.0285714287</v>
      </c>
      <c r="G203" s="794">
        <f t="shared" si="8"/>
        <v>436308.72860310157</v>
      </c>
      <c r="H203" s="795">
        <f t="shared" si="9"/>
        <v>436308.72860310157</v>
      </c>
      <c r="I203" s="792">
        <f t="shared" si="10"/>
        <v>0</v>
      </c>
      <c r="J203" s="792"/>
      <c r="K203" s="812"/>
      <c r="L203" s="796"/>
      <c r="M203" s="812"/>
      <c r="N203" s="797"/>
      <c r="O203" s="796"/>
    </row>
    <row r="204" spans="3:15">
      <c r="C204" s="788">
        <f>IF(D185="","-",+C203+1)</f>
        <v>2024</v>
      </c>
      <c r="D204" s="736">
        <f t="shared" si="6"/>
        <v>2282863.0285714287</v>
      </c>
      <c r="E204" s="789">
        <f t="shared" si="11"/>
        <v>99254.914285714287</v>
      </c>
      <c r="F204" s="736">
        <f t="shared" si="7"/>
        <v>2183608.1142857145</v>
      </c>
      <c r="G204" s="794">
        <f t="shared" si="8"/>
        <v>421966.01310023409</v>
      </c>
      <c r="H204" s="795">
        <f t="shared" si="9"/>
        <v>421966.01310023409</v>
      </c>
      <c r="I204" s="792">
        <f t="shared" si="10"/>
        <v>0</v>
      </c>
      <c r="J204" s="792"/>
      <c r="K204" s="812"/>
      <c r="L204" s="796"/>
      <c r="M204" s="812"/>
      <c r="N204" s="796"/>
      <c r="O204" s="796"/>
    </row>
    <row r="205" spans="3:15">
      <c r="C205" s="788">
        <f>IF(D185="","-",+C204+1)</f>
        <v>2025</v>
      </c>
      <c r="D205" s="736">
        <f t="shared" si="6"/>
        <v>2183608.1142857145</v>
      </c>
      <c r="E205" s="789">
        <f t="shared" si="11"/>
        <v>99254.914285714287</v>
      </c>
      <c r="F205" s="736">
        <f t="shared" si="7"/>
        <v>2084353.2000000002</v>
      </c>
      <c r="G205" s="794">
        <f t="shared" si="8"/>
        <v>407623.2975973665</v>
      </c>
      <c r="H205" s="795">
        <f t="shared" si="9"/>
        <v>407623.2975973665</v>
      </c>
      <c r="I205" s="792">
        <f t="shared" si="10"/>
        <v>0</v>
      </c>
      <c r="J205" s="792"/>
      <c r="K205" s="812"/>
      <c r="L205" s="796"/>
      <c r="M205" s="812"/>
      <c r="N205" s="796"/>
      <c r="O205" s="796"/>
    </row>
    <row r="206" spans="3:15">
      <c r="C206" s="788">
        <f>IF(D185="","-",+C205+1)</f>
        <v>2026</v>
      </c>
      <c r="D206" s="736">
        <f t="shared" si="6"/>
        <v>2084353.2000000002</v>
      </c>
      <c r="E206" s="789">
        <f t="shared" si="11"/>
        <v>99254.914285714287</v>
      </c>
      <c r="F206" s="736">
        <f t="shared" si="7"/>
        <v>1985098.2857142859</v>
      </c>
      <c r="G206" s="794">
        <f t="shared" si="8"/>
        <v>393280.58209449897</v>
      </c>
      <c r="H206" s="795">
        <f t="shared" si="9"/>
        <v>393280.58209449897</v>
      </c>
      <c r="I206" s="792">
        <f t="shared" si="10"/>
        <v>0</v>
      </c>
      <c r="J206" s="792"/>
      <c r="K206" s="812"/>
      <c r="L206" s="796"/>
      <c r="M206" s="812"/>
      <c r="N206" s="796"/>
      <c r="O206" s="796"/>
    </row>
    <row r="207" spans="3:15">
      <c r="C207" s="788">
        <f>IF(D185="","-",+C206+1)</f>
        <v>2027</v>
      </c>
      <c r="D207" s="736">
        <f t="shared" si="6"/>
        <v>1985098.2857142859</v>
      </c>
      <c r="E207" s="789">
        <f t="shared" si="11"/>
        <v>99254.914285714287</v>
      </c>
      <c r="F207" s="736">
        <f t="shared" si="7"/>
        <v>1885843.3714285716</v>
      </c>
      <c r="G207" s="794">
        <f t="shared" si="8"/>
        <v>378937.86659163143</v>
      </c>
      <c r="H207" s="795">
        <f t="shared" si="9"/>
        <v>378937.86659163143</v>
      </c>
      <c r="I207" s="792">
        <f t="shared" si="10"/>
        <v>0</v>
      </c>
      <c r="J207" s="792"/>
      <c r="K207" s="812"/>
      <c r="L207" s="796"/>
      <c r="M207" s="812"/>
      <c r="N207" s="796"/>
      <c r="O207" s="796"/>
    </row>
    <row r="208" spans="3:15">
      <c r="C208" s="788">
        <f>IF(D185="","-",+C207+1)</f>
        <v>2028</v>
      </c>
      <c r="D208" s="736">
        <f t="shared" si="6"/>
        <v>1885843.3714285716</v>
      </c>
      <c r="E208" s="789">
        <f t="shared" si="11"/>
        <v>99254.914285714287</v>
      </c>
      <c r="F208" s="736">
        <f t="shared" si="7"/>
        <v>1786588.4571428574</v>
      </c>
      <c r="G208" s="794">
        <f t="shared" si="8"/>
        <v>364595.1510887639</v>
      </c>
      <c r="H208" s="795">
        <f t="shared" si="9"/>
        <v>364595.1510887639</v>
      </c>
      <c r="I208" s="792">
        <f t="shared" si="10"/>
        <v>0</v>
      </c>
      <c r="J208" s="792"/>
      <c r="K208" s="812"/>
      <c r="L208" s="796"/>
      <c r="M208" s="812"/>
      <c r="N208" s="796"/>
      <c r="O208" s="796"/>
    </row>
    <row r="209" spans="3:15">
      <c r="C209" s="788">
        <f>IF(D185="","-",+C208+1)</f>
        <v>2029</v>
      </c>
      <c r="D209" s="736">
        <f t="shared" si="6"/>
        <v>1786588.4571428574</v>
      </c>
      <c r="E209" s="789">
        <f t="shared" si="11"/>
        <v>99254.914285714287</v>
      </c>
      <c r="F209" s="736">
        <f t="shared" si="7"/>
        <v>1687333.5428571431</v>
      </c>
      <c r="G209" s="794">
        <f t="shared" si="8"/>
        <v>350252.43558589637</v>
      </c>
      <c r="H209" s="795">
        <f t="shared" si="9"/>
        <v>350252.43558589637</v>
      </c>
      <c r="I209" s="792">
        <f t="shared" si="10"/>
        <v>0</v>
      </c>
      <c r="J209" s="792"/>
      <c r="K209" s="812"/>
      <c r="L209" s="796"/>
      <c r="M209" s="812"/>
      <c r="N209" s="796"/>
      <c r="O209" s="796"/>
    </row>
    <row r="210" spans="3:15">
      <c r="C210" s="788">
        <f>IF(D185="","-",+C209+1)</f>
        <v>2030</v>
      </c>
      <c r="D210" s="736">
        <f t="shared" si="6"/>
        <v>1687333.5428571431</v>
      </c>
      <c r="E210" s="789">
        <f t="shared" si="11"/>
        <v>99254.914285714287</v>
      </c>
      <c r="F210" s="736">
        <f t="shared" si="7"/>
        <v>1588078.6285714288</v>
      </c>
      <c r="G210" s="794">
        <f t="shared" si="8"/>
        <v>335909.72008302883</v>
      </c>
      <c r="H210" s="795">
        <f t="shared" si="9"/>
        <v>335909.72008302883</v>
      </c>
      <c r="I210" s="792">
        <f t="shared" si="10"/>
        <v>0</v>
      </c>
      <c r="J210" s="792"/>
      <c r="K210" s="812"/>
      <c r="L210" s="796"/>
      <c r="M210" s="812"/>
      <c r="N210" s="796"/>
      <c r="O210" s="796"/>
    </row>
    <row r="211" spans="3:15">
      <c r="C211" s="788">
        <f>IF(D185="","-",+C210+1)</f>
        <v>2031</v>
      </c>
      <c r="D211" s="736">
        <f t="shared" si="6"/>
        <v>1588078.6285714288</v>
      </c>
      <c r="E211" s="789">
        <f t="shared" si="11"/>
        <v>99254.914285714287</v>
      </c>
      <c r="F211" s="736">
        <f t="shared" si="7"/>
        <v>1488823.7142857146</v>
      </c>
      <c r="G211" s="794">
        <f t="shared" si="8"/>
        <v>321567.0045801613</v>
      </c>
      <c r="H211" s="795">
        <f t="shared" si="9"/>
        <v>321567.0045801613</v>
      </c>
      <c r="I211" s="792">
        <f t="shared" si="10"/>
        <v>0</v>
      </c>
      <c r="J211" s="792"/>
      <c r="K211" s="812"/>
      <c r="L211" s="796"/>
      <c r="M211" s="812"/>
      <c r="N211" s="796"/>
      <c r="O211" s="796"/>
    </row>
    <row r="212" spans="3:15">
      <c r="C212" s="788">
        <f>IF(D185="","-",+C211+1)</f>
        <v>2032</v>
      </c>
      <c r="D212" s="736">
        <f t="shared" si="6"/>
        <v>1488823.7142857146</v>
      </c>
      <c r="E212" s="789">
        <f t="shared" si="11"/>
        <v>99254.914285714287</v>
      </c>
      <c r="F212" s="736">
        <f t="shared" si="7"/>
        <v>1389568.8000000003</v>
      </c>
      <c r="G212" s="794">
        <f t="shared" si="8"/>
        <v>307224.28907729377</v>
      </c>
      <c r="H212" s="795">
        <f t="shared" si="9"/>
        <v>307224.28907729377</v>
      </c>
      <c r="I212" s="792">
        <f t="shared" si="10"/>
        <v>0</v>
      </c>
      <c r="J212" s="792"/>
      <c r="K212" s="812"/>
      <c r="L212" s="796"/>
      <c r="M212" s="812"/>
      <c r="N212" s="796"/>
      <c r="O212" s="796"/>
    </row>
    <row r="213" spans="3:15">
      <c r="C213" s="788">
        <f>IF(D185="","-",+C212+1)</f>
        <v>2033</v>
      </c>
      <c r="D213" s="736">
        <f t="shared" si="6"/>
        <v>1389568.8000000003</v>
      </c>
      <c r="E213" s="789">
        <f t="shared" si="11"/>
        <v>99254.914285714287</v>
      </c>
      <c r="F213" s="736">
        <f t="shared" si="7"/>
        <v>1290313.885714286</v>
      </c>
      <c r="G213" s="794">
        <f t="shared" si="8"/>
        <v>292881.57357442618</v>
      </c>
      <c r="H213" s="795">
        <f t="shared" si="9"/>
        <v>292881.57357442618</v>
      </c>
      <c r="I213" s="792">
        <f t="shared" si="10"/>
        <v>0</v>
      </c>
      <c r="J213" s="792"/>
      <c r="K213" s="812"/>
      <c r="L213" s="796"/>
      <c r="M213" s="812"/>
      <c r="N213" s="796"/>
      <c r="O213" s="796"/>
    </row>
    <row r="214" spans="3:15">
      <c r="C214" s="788">
        <f>IF(D185="","-",+C213+1)</f>
        <v>2034</v>
      </c>
      <c r="D214" s="736">
        <f t="shared" si="6"/>
        <v>1290313.885714286</v>
      </c>
      <c r="E214" s="789">
        <f t="shared" si="11"/>
        <v>99254.914285714287</v>
      </c>
      <c r="F214" s="736">
        <f t="shared" si="7"/>
        <v>1191058.9714285717</v>
      </c>
      <c r="G214" s="794">
        <f t="shared" si="8"/>
        <v>278538.85807155864</v>
      </c>
      <c r="H214" s="795">
        <f t="shared" si="9"/>
        <v>278538.85807155864</v>
      </c>
      <c r="I214" s="792">
        <f t="shared" si="10"/>
        <v>0</v>
      </c>
      <c r="J214" s="792"/>
      <c r="K214" s="812"/>
      <c r="L214" s="796"/>
      <c r="M214" s="812"/>
      <c r="N214" s="796"/>
      <c r="O214" s="796"/>
    </row>
    <row r="215" spans="3:15">
      <c r="C215" s="788">
        <f>IF(D185="","-",+C214+1)</f>
        <v>2035</v>
      </c>
      <c r="D215" s="736">
        <f t="shared" si="6"/>
        <v>1191058.9714285717</v>
      </c>
      <c r="E215" s="789">
        <f t="shared" si="11"/>
        <v>99254.914285714287</v>
      </c>
      <c r="F215" s="736">
        <f t="shared" si="7"/>
        <v>1091804.0571428575</v>
      </c>
      <c r="G215" s="794">
        <f t="shared" si="8"/>
        <v>264196.14256869111</v>
      </c>
      <c r="H215" s="795">
        <f t="shared" si="9"/>
        <v>264196.14256869111</v>
      </c>
      <c r="I215" s="792">
        <f t="shared" si="10"/>
        <v>0</v>
      </c>
      <c r="J215" s="792"/>
      <c r="K215" s="812"/>
      <c r="L215" s="796"/>
      <c r="M215" s="812"/>
      <c r="N215" s="796"/>
      <c r="O215" s="796"/>
    </row>
    <row r="216" spans="3:15">
      <c r="C216" s="788">
        <f>IF(D185="","-",+C215+1)</f>
        <v>2036</v>
      </c>
      <c r="D216" s="736">
        <f t="shared" si="6"/>
        <v>1091804.0571428575</v>
      </c>
      <c r="E216" s="789">
        <f t="shared" si="11"/>
        <v>99254.914285714287</v>
      </c>
      <c r="F216" s="736">
        <f t="shared" si="7"/>
        <v>992549.14285714319</v>
      </c>
      <c r="G216" s="794">
        <f t="shared" si="8"/>
        <v>249853.42706582358</v>
      </c>
      <c r="H216" s="795">
        <f t="shared" si="9"/>
        <v>249853.42706582358</v>
      </c>
      <c r="I216" s="792">
        <f t="shared" si="10"/>
        <v>0</v>
      </c>
      <c r="J216" s="792"/>
      <c r="K216" s="812"/>
      <c r="L216" s="796"/>
      <c r="M216" s="812"/>
      <c r="N216" s="796"/>
      <c r="O216" s="796"/>
    </row>
    <row r="217" spans="3:15">
      <c r="C217" s="788">
        <f>IF(D185="","-",+C216+1)</f>
        <v>2037</v>
      </c>
      <c r="D217" s="736">
        <f t="shared" si="6"/>
        <v>992549.14285714319</v>
      </c>
      <c r="E217" s="789">
        <f t="shared" si="11"/>
        <v>99254.914285714287</v>
      </c>
      <c r="F217" s="736">
        <f t="shared" si="7"/>
        <v>893294.22857142892</v>
      </c>
      <c r="G217" s="794">
        <f t="shared" si="8"/>
        <v>235510.71156295604</v>
      </c>
      <c r="H217" s="795">
        <f t="shared" si="9"/>
        <v>235510.71156295604</v>
      </c>
      <c r="I217" s="792">
        <f t="shared" si="10"/>
        <v>0</v>
      </c>
      <c r="J217" s="792"/>
      <c r="K217" s="812"/>
      <c r="L217" s="796"/>
      <c r="M217" s="812"/>
      <c r="N217" s="796"/>
      <c r="O217" s="796"/>
    </row>
    <row r="218" spans="3:15">
      <c r="C218" s="788">
        <f>IF(D185="","-",+C217+1)</f>
        <v>2038</v>
      </c>
      <c r="D218" s="736">
        <f t="shared" si="6"/>
        <v>893294.22857142892</v>
      </c>
      <c r="E218" s="789">
        <f t="shared" si="11"/>
        <v>99254.914285714287</v>
      </c>
      <c r="F218" s="736">
        <f t="shared" si="7"/>
        <v>794039.31428571464</v>
      </c>
      <c r="G218" s="794">
        <f t="shared" si="8"/>
        <v>221167.99606008848</v>
      </c>
      <c r="H218" s="795">
        <f t="shared" si="9"/>
        <v>221167.99606008848</v>
      </c>
      <c r="I218" s="792">
        <f t="shared" si="10"/>
        <v>0</v>
      </c>
      <c r="J218" s="792"/>
      <c r="K218" s="812"/>
      <c r="L218" s="796"/>
      <c r="M218" s="812"/>
      <c r="N218" s="796"/>
      <c r="O218" s="796"/>
    </row>
    <row r="219" spans="3:15">
      <c r="C219" s="788">
        <f>IF(D185="","-",+C218+1)</f>
        <v>2039</v>
      </c>
      <c r="D219" s="736">
        <f t="shared" si="6"/>
        <v>794039.31428571464</v>
      </c>
      <c r="E219" s="789">
        <f t="shared" si="11"/>
        <v>99254.914285714287</v>
      </c>
      <c r="F219" s="736">
        <f t="shared" si="7"/>
        <v>694784.40000000037</v>
      </c>
      <c r="G219" s="790">
        <f t="shared" si="8"/>
        <v>206825.28055722092</v>
      </c>
      <c r="H219" s="795">
        <f t="shared" si="9"/>
        <v>206825.28055722092</v>
      </c>
      <c r="I219" s="792">
        <f t="shared" si="10"/>
        <v>0</v>
      </c>
      <c r="J219" s="792"/>
      <c r="K219" s="812"/>
      <c r="L219" s="796"/>
      <c r="M219" s="812"/>
      <c r="N219" s="796"/>
      <c r="O219" s="796"/>
    </row>
    <row r="220" spans="3:15">
      <c r="C220" s="788">
        <f>IF(D185="","-",+C219+1)</f>
        <v>2040</v>
      </c>
      <c r="D220" s="736">
        <f t="shared" si="6"/>
        <v>694784.40000000037</v>
      </c>
      <c r="E220" s="789">
        <f t="shared" si="11"/>
        <v>99254.914285714287</v>
      </c>
      <c r="F220" s="736">
        <f t="shared" si="7"/>
        <v>595529.4857142861</v>
      </c>
      <c r="G220" s="794">
        <f t="shared" si="8"/>
        <v>192482.56505435338</v>
      </c>
      <c r="H220" s="795">
        <f t="shared" si="9"/>
        <v>192482.56505435338</v>
      </c>
      <c r="I220" s="792">
        <f t="shared" si="10"/>
        <v>0</v>
      </c>
      <c r="J220" s="792"/>
      <c r="K220" s="812"/>
      <c r="L220" s="796"/>
      <c r="M220" s="812"/>
      <c r="N220" s="796"/>
      <c r="O220" s="796"/>
    </row>
    <row r="221" spans="3:15">
      <c r="C221" s="788">
        <f>IF(D185="","-",+C220+1)</f>
        <v>2041</v>
      </c>
      <c r="D221" s="736">
        <f t="shared" si="6"/>
        <v>595529.4857142861</v>
      </c>
      <c r="E221" s="789">
        <f t="shared" si="11"/>
        <v>99254.914285714287</v>
      </c>
      <c r="F221" s="736">
        <f t="shared" si="7"/>
        <v>496274.57142857183</v>
      </c>
      <c r="G221" s="794">
        <f t="shared" si="8"/>
        <v>178139.84955148585</v>
      </c>
      <c r="H221" s="795">
        <f t="shared" si="9"/>
        <v>178139.84955148585</v>
      </c>
      <c r="I221" s="792">
        <f t="shared" si="10"/>
        <v>0</v>
      </c>
      <c r="J221" s="792"/>
      <c r="K221" s="812"/>
      <c r="L221" s="796"/>
      <c r="M221" s="812"/>
      <c r="N221" s="796"/>
      <c r="O221" s="796"/>
    </row>
    <row r="222" spans="3:15">
      <c r="C222" s="788">
        <f>IF(D185="","-",+C221+1)</f>
        <v>2042</v>
      </c>
      <c r="D222" s="736">
        <f t="shared" si="6"/>
        <v>496274.57142857183</v>
      </c>
      <c r="E222" s="789">
        <f t="shared" si="11"/>
        <v>99254.914285714287</v>
      </c>
      <c r="F222" s="736">
        <f t="shared" si="7"/>
        <v>397019.65714285756</v>
      </c>
      <c r="G222" s="794">
        <f t="shared" si="8"/>
        <v>163797.13404861832</v>
      </c>
      <c r="H222" s="795">
        <f t="shared" si="9"/>
        <v>163797.13404861832</v>
      </c>
      <c r="I222" s="792">
        <f t="shared" si="10"/>
        <v>0</v>
      </c>
      <c r="J222" s="792"/>
      <c r="K222" s="812"/>
      <c r="L222" s="796"/>
      <c r="M222" s="812"/>
      <c r="N222" s="796"/>
      <c r="O222" s="796"/>
    </row>
    <row r="223" spans="3:15">
      <c r="C223" s="788">
        <f>IF(D185="","-",+C222+1)</f>
        <v>2043</v>
      </c>
      <c r="D223" s="736">
        <f t="shared" si="6"/>
        <v>397019.65714285756</v>
      </c>
      <c r="E223" s="789">
        <f t="shared" si="11"/>
        <v>99254.914285714287</v>
      </c>
      <c r="F223" s="736">
        <f t="shared" si="7"/>
        <v>297764.74285714328</v>
      </c>
      <c r="G223" s="794">
        <f t="shared" si="8"/>
        <v>149454.41854575076</v>
      </c>
      <c r="H223" s="795">
        <f t="shared" si="9"/>
        <v>149454.41854575076</v>
      </c>
      <c r="I223" s="792">
        <f t="shared" si="10"/>
        <v>0</v>
      </c>
      <c r="J223" s="792"/>
      <c r="K223" s="812"/>
      <c r="L223" s="796"/>
      <c r="M223" s="812"/>
      <c r="N223" s="796"/>
      <c r="O223" s="796"/>
    </row>
    <row r="224" spans="3:15">
      <c r="C224" s="788">
        <f>IF(D185="","-",+C223+1)</f>
        <v>2044</v>
      </c>
      <c r="D224" s="736">
        <f t="shared" si="6"/>
        <v>297764.74285714328</v>
      </c>
      <c r="E224" s="789">
        <f t="shared" si="11"/>
        <v>99254.914285714287</v>
      </c>
      <c r="F224" s="736">
        <f t="shared" si="7"/>
        <v>198509.82857142901</v>
      </c>
      <c r="G224" s="794">
        <f t="shared" si="8"/>
        <v>135111.70304288322</v>
      </c>
      <c r="H224" s="795">
        <f t="shared" si="9"/>
        <v>135111.70304288322</v>
      </c>
      <c r="I224" s="792">
        <f t="shared" si="10"/>
        <v>0</v>
      </c>
      <c r="J224" s="792"/>
      <c r="K224" s="812"/>
      <c r="L224" s="796"/>
      <c r="M224" s="812"/>
      <c r="N224" s="796"/>
      <c r="O224" s="796"/>
    </row>
    <row r="225" spans="3:15">
      <c r="C225" s="788">
        <f>IF(D185="","-",+C224+1)</f>
        <v>2045</v>
      </c>
      <c r="D225" s="736">
        <f t="shared" si="6"/>
        <v>198509.82857142901</v>
      </c>
      <c r="E225" s="789">
        <f t="shared" si="11"/>
        <v>99254.914285714287</v>
      </c>
      <c r="F225" s="736">
        <f t="shared" si="7"/>
        <v>99254.914285714724</v>
      </c>
      <c r="G225" s="794">
        <f t="shared" si="8"/>
        <v>120768.98754001567</v>
      </c>
      <c r="H225" s="795">
        <f t="shared" si="9"/>
        <v>120768.98754001567</v>
      </c>
      <c r="I225" s="792">
        <f t="shared" si="10"/>
        <v>0</v>
      </c>
      <c r="J225" s="792"/>
      <c r="K225" s="812"/>
      <c r="L225" s="796"/>
      <c r="M225" s="812"/>
      <c r="N225" s="796"/>
      <c r="O225" s="796"/>
    </row>
    <row r="226" spans="3:15">
      <c r="C226" s="788">
        <f>IF(D185="","-",+C225+1)</f>
        <v>2046</v>
      </c>
      <c r="D226" s="736">
        <f t="shared" si="6"/>
        <v>99254.914285714724</v>
      </c>
      <c r="E226" s="789">
        <f t="shared" si="11"/>
        <v>99254.914285714287</v>
      </c>
      <c r="F226" s="736">
        <f t="shared" si="7"/>
        <v>4.3655745685100555E-10</v>
      </c>
      <c r="G226" s="794">
        <f t="shared" si="8"/>
        <v>106426.27203714813</v>
      </c>
      <c r="H226" s="795">
        <f t="shared" si="9"/>
        <v>106426.27203714813</v>
      </c>
      <c r="I226" s="792">
        <f t="shared" si="10"/>
        <v>0</v>
      </c>
      <c r="J226" s="792"/>
      <c r="K226" s="812"/>
      <c r="L226" s="796"/>
      <c r="M226" s="812"/>
      <c r="N226" s="796"/>
      <c r="O226" s="796"/>
    </row>
    <row r="227" spans="3:15">
      <c r="C227" s="788">
        <f>IF(D185="","-",+C226+1)</f>
        <v>2047</v>
      </c>
      <c r="D227" s="736">
        <f t="shared" si="6"/>
        <v>4.3655745685100555E-10</v>
      </c>
      <c r="E227" s="789">
        <f t="shared" si="11"/>
        <v>4.3655745685100555E-10</v>
      </c>
      <c r="F227" s="736">
        <f t="shared" si="7"/>
        <v>0</v>
      </c>
      <c r="G227" s="794">
        <f t="shared" si="8"/>
        <v>4.6809956964879246E-10</v>
      </c>
      <c r="H227" s="795">
        <f t="shared" si="9"/>
        <v>4.6809956964879246E-10</v>
      </c>
      <c r="I227" s="792">
        <f t="shared" si="10"/>
        <v>0</v>
      </c>
      <c r="J227" s="792"/>
      <c r="K227" s="812"/>
      <c r="L227" s="796"/>
      <c r="M227" s="812"/>
      <c r="N227" s="796"/>
      <c r="O227" s="796"/>
    </row>
    <row r="228" spans="3:15">
      <c r="C228" s="788">
        <f>IF(D185="","-",+C227+1)</f>
        <v>2048</v>
      </c>
      <c r="D228" s="736">
        <f t="shared" si="6"/>
        <v>0</v>
      </c>
      <c r="E228" s="789">
        <f t="shared" si="11"/>
        <v>0</v>
      </c>
      <c r="F228" s="736">
        <f t="shared" si="7"/>
        <v>0</v>
      </c>
      <c r="G228" s="794">
        <f t="shared" si="8"/>
        <v>0</v>
      </c>
      <c r="H228" s="795">
        <f t="shared" si="9"/>
        <v>0</v>
      </c>
      <c r="I228" s="792">
        <f t="shared" si="10"/>
        <v>0</v>
      </c>
      <c r="J228" s="792"/>
      <c r="K228" s="812"/>
      <c r="L228" s="796"/>
      <c r="M228" s="812"/>
      <c r="N228" s="796"/>
      <c r="O228" s="796"/>
    </row>
    <row r="229" spans="3:15">
      <c r="C229" s="788">
        <f>IF(D185="","-",+C228+1)</f>
        <v>2049</v>
      </c>
      <c r="D229" s="736">
        <f t="shared" si="6"/>
        <v>0</v>
      </c>
      <c r="E229" s="789">
        <f t="shared" si="11"/>
        <v>0</v>
      </c>
      <c r="F229" s="736">
        <f t="shared" si="7"/>
        <v>0</v>
      </c>
      <c r="G229" s="794">
        <f t="shared" si="8"/>
        <v>0</v>
      </c>
      <c r="H229" s="795">
        <f t="shared" si="9"/>
        <v>0</v>
      </c>
      <c r="I229" s="792">
        <f t="shared" si="10"/>
        <v>0</v>
      </c>
      <c r="J229" s="792"/>
      <c r="K229" s="812"/>
      <c r="L229" s="796"/>
      <c r="M229" s="812"/>
      <c r="N229" s="796"/>
      <c r="O229" s="796"/>
    </row>
    <row r="230" spans="3:15">
      <c r="C230" s="788">
        <f>IF(D185="","-",+C229+1)</f>
        <v>2050</v>
      </c>
      <c r="D230" s="736">
        <f t="shared" si="6"/>
        <v>0</v>
      </c>
      <c r="E230" s="789">
        <f t="shared" si="11"/>
        <v>0</v>
      </c>
      <c r="F230" s="736">
        <f t="shared" si="7"/>
        <v>0</v>
      </c>
      <c r="G230" s="794">
        <f t="shared" si="8"/>
        <v>0</v>
      </c>
      <c r="H230" s="795">
        <f t="shared" si="9"/>
        <v>0</v>
      </c>
      <c r="I230" s="792">
        <f t="shared" si="10"/>
        <v>0</v>
      </c>
      <c r="J230" s="792"/>
      <c r="K230" s="812"/>
      <c r="L230" s="796"/>
      <c r="M230" s="812"/>
      <c r="N230" s="796"/>
      <c r="O230" s="796"/>
    </row>
    <row r="231" spans="3:15">
      <c r="C231" s="788">
        <f>IF(D185="","-",+C230+1)</f>
        <v>2051</v>
      </c>
      <c r="D231" s="736">
        <f t="shared" si="6"/>
        <v>0</v>
      </c>
      <c r="E231" s="789">
        <f t="shared" si="11"/>
        <v>0</v>
      </c>
      <c r="F231" s="736">
        <f t="shared" si="7"/>
        <v>0</v>
      </c>
      <c r="G231" s="794">
        <f t="shared" si="8"/>
        <v>0</v>
      </c>
      <c r="H231" s="795">
        <f t="shared" si="9"/>
        <v>0</v>
      </c>
      <c r="I231" s="792">
        <f t="shared" si="10"/>
        <v>0</v>
      </c>
      <c r="J231" s="792"/>
      <c r="K231" s="812"/>
      <c r="L231" s="796"/>
      <c r="M231" s="812"/>
      <c r="N231" s="796"/>
      <c r="O231" s="796"/>
    </row>
    <row r="232" spans="3:15">
      <c r="C232" s="788">
        <f>IF(D185="","-",+C231+1)</f>
        <v>2052</v>
      </c>
      <c r="D232" s="736">
        <f t="shared" si="6"/>
        <v>0</v>
      </c>
      <c r="E232" s="789">
        <f t="shared" si="11"/>
        <v>0</v>
      </c>
      <c r="F232" s="736">
        <f t="shared" si="7"/>
        <v>0</v>
      </c>
      <c r="G232" s="794">
        <f t="shared" si="8"/>
        <v>0</v>
      </c>
      <c r="H232" s="795">
        <f t="shared" si="9"/>
        <v>0</v>
      </c>
      <c r="I232" s="792">
        <f t="shared" si="10"/>
        <v>0</v>
      </c>
      <c r="J232" s="792"/>
      <c r="K232" s="812"/>
      <c r="L232" s="796"/>
      <c r="M232" s="812"/>
      <c r="N232" s="796"/>
      <c r="O232" s="796"/>
    </row>
    <row r="233" spans="3:15">
      <c r="C233" s="788">
        <f>IF(D185="","-",+C232+1)</f>
        <v>2053</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2054</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2055</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2056</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2057</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2058</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2059</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2060</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2061</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2062</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2063</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2064</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2065</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2066</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2067</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2068</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2069</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2070</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83</v>
      </c>
      <c r="D251" s="730"/>
      <c r="E251" s="730">
        <f>SUM(E191:E250)</f>
        <v>3473922.0000000005</v>
      </c>
      <c r="F251" s="730"/>
      <c r="G251" s="730">
        <f>SUM(G191:G250)</f>
        <v>12760830.288106732</v>
      </c>
      <c r="H251" s="730">
        <f>SUM(H191:H250)</f>
        <v>12760830.288106732</v>
      </c>
      <c r="I251" s="730">
        <f>SUM(I191:I250)</f>
        <v>0</v>
      </c>
      <c r="J251" s="730"/>
      <c r="K251" s="730"/>
      <c r="L251" s="730"/>
      <c r="M251" s="730"/>
      <c r="N251" s="730"/>
      <c r="O251" s="313"/>
    </row>
    <row r="252" spans="3:15">
      <c r="D252" s="538"/>
      <c r="E252" s="313"/>
      <c r="F252" s="313"/>
      <c r="G252" s="313"/>
      <c r="H252" s="708"/>
      <c r="I252" s="708"/>
      <c r="J252" s="730"/>
      <c r="K252" s="708"/>
      <c r="L252" s="708"/>
      <c r="M252" s="708"/>
      <c r="N252" s="708"/>
      <c r="O252" s="313"/>
    </row>
    <row r="253" spans="3:15">
      <c r="C253" s="313" t="s">
        <v>13</v>
      </c>
      <c r="D253" s="538"/>
      <c r="E253" s="313"/>
      <c r="F253" s="313"/>
      <c r="G253" s="313"/>
      <c r="H253" s="708"/>
      <c r="I253" s="708"/>
      <c r="J253" s="730"/>
      <c r="K253" s="708"/>
      <c r="L253" s="708"/>
      <c r="M253" s="708"/>
      <c r="N253" s="708"/>
      <c r="O253" s="313"/>
    </row>
    <row r="254" spans="3:15">
      <c r="C254" s="313"/>
      <c r="D254" s="538"/>
      <c r="E254" s="313"/>
      <c r="F254" s="313"/>
      <c r="G254" s="313"/>
      <c r="H254" s="708"/>
      <c r="I254" s="708"/>
      <c r="J254" s="730"/>
      <c r="K254" s="708"/>
      <c r="L254" s="708"/>
      <c r="M254" s="708"/>
      <c r="N254" s="708"/>
      <c r="O254" s="313"/>
    </row>
    <row r="255" spans="3:15">
      <c r="C255" s="749" t="s">
        <v>14</v>
      </c>
      <c r="D255" s="736"/>
      <c r="E255" s="736"/>
      <c r="F255" s="736"/>
      <c r="G255" s="730"/>
      <c r="H255" s="730"/>
      <c r="I255" s="804"/>
      <c r="J255" s="804"/>
      <c r="K255" s="804"/>
      <c r="L255" s="804"/>
      <c r="M255" s="804"/>
      <c r="N255" s="804"/>
      <c r="O255" s="313"/>
    </row>
    <row r="256" spans="3:15">
      <c r="C256" s="735" t="s">
        <v>263</v>
      </c>
      <c r="D256" s="736"/>
      <c r="E256" s="736"/>
      <c r="F256" s="736"/>
      <c r="G256" s="730"/>
      <c r="H256" s="730"/>
      <c r="I256" s="804"/>
      <c r="J256" s="804"/>
      <c r="K256" s="804"/>
      <c r="L256" s="804"/>
      <c r="M256" s="804"/>
      <c r="N256" s="804"/>
      <c r="O256" s="313"/>
    </row>
    <row r="257" spans="1:16">
      <c r="C257" s="735" t="s">
        <v>84</v>
      </c>
      <c r="D257" s="736"/>
      <c r="E257" s="736"/>
      <c r="F257" s="736"/>
      <c r="G257" s="730"/>
      <c r="H257" s="730"/>
      <c r="I257" s="804"/>
      <c r="J257" s="804"/>
      <c r="K257" s="804"/>
      <c r="L257" s="804"/>
      <c r="M257" s="804"/>
      <c r="N257" s="804"/>
      <c r="O257" s="313"/>
    </row>
    <row r="258" spans="1:16">
      <c r="C258" s="735"/>
      <c r="D258" s="736"/>
      <c r="E258" s="736"/>
      <c r="F258" s="736"/>
      <c r="G258" s="730"/>
      <c r="H258" s="730"/>
      <c r="I258" s="804"/>
      <c r="J258" s="804"/>
      <c r="K258" s="804"/>
      <c r="L258" s="804"/>
      <c r="M258" s="804"/>
      <c r="N258" s="804"/>
      <c r="O258" s="313"/>
    </row>
    <row r="259" spans="1:16">
      <c r="C259" s="1547" t="s">
        <v>6</v>
      </c>
      <c r="D259" s="1547"/>
      <c r="E259" s="1547"/>
      <c r="F259" s="1547"/>
      <c r="G259" s="1547"/>
      <c r="H259" s="1547"/>
      <c r="I259" s="1547"/>
      <c r="J259" s="1547"/>
      <c r="K259" s="1547"/>
      <c r="L259" s="1547"/>
      <c r="M259" s="1547"/>
      <c r="N259" s="1547"/>
      <c r="O259" s="1547"/>
    </row>
    <row r="260" spans="1:16">
      <c r="C260" s="1547"/>
      <c r="D260" s="1547"/>
      <c r="E260" s="1547"/>
      <c r="F260" s="1547"/>
      <c r="G260" s="1547"/>
      <c r="H260" s="1547"/>
      <c r="I260" s="1547"/>
      <c r="J260" s="1547"/>
      <c r="K260" s="1547"/>
      <c r="L260" s="1547"/>
      <c r="M260" s="1547"/>
      <c r="N260" s="1547"/>
      <c r="O260" s="1547"/>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7"/>
      <c r="C262" s="725"/>
      <c r="D262" s="538"/>
      <c r="E262" s="313"/>
      <c r="F262" s="707"/>
      <c r="G262" s="313"/>
      <c r="H262" s="708"/>
      <c r="K262" s="564"/>
      <c r="L262" s="564"/>
      <c r="M262" s="564"/>
      <c r="N262" s="653" t="str">
        <f>"Page "&amp;SUM(P$8:P262)&amp;" of "</f>
        <v xml:space="preserve">Page 4 of </v>
      </c>
      <c r="O262" s="654">
        <f>COUNT(P$8:P$56653)</f>
        <v>23</v>
      </c>
      <c r="P262" s="172">
        <v>1</v>
      </c>
    </row>
    <row r="263" spans="1:16">
      <c r="B263" s="347"/>
      <c r="C263" s="313"/>
      <c r="D263" s="538"/>
      <c r="E263" s="313"/>
      <c r="F263" s="313"/>
      <c r="G263" s="313"/>
      <c r="H263" s="708"/>
      <c r="I263" s="313"/>
      <c r="J263" s="426"/>
      <c r="K263" s="313"/>
      <c r="L263" s="313"/>
      <c r="M263" s="313"/>
      <c r="N263" s="313"/>
      <c r="O263" s="313"/>
    </row>
    <row r="264" spans="1:16" ht="18">
      <c r="B264" s="657" t="s">
        <v>466</v>
      </c>
      <c r="C264" s="739" t="s">
        <v>85</v>
      </c>
      <c r="D264" s="538"/>
      <c r="E264" s="313"/>
      <c r="F264" s="313"/>
      <c r="G264" s="313"/>
      <c r="H264" s="708"/>
      <c r="I264" s="708"/>
      <c r="J264" s="730"/>
      <c r="K264" s="708"/>
      <c r="L264" s="708"/>
      <c r="M264" s="708"/>
      <c r="N264" s="708"/>
      <c r="O264" s="313"/>
    </row>
    <row r="265" spans="1:16" ht="18.75">
      <c r="B265" s="657"/>
      <c r="C265" s="656"/>
      <c r="D265" s="538"/>
      <c r="E265" s="313"/>
      <c r="F265" s="313"/>
      <c r="G265" s="313"/>
      <c r="H265" s="708"/>
      <c r="I265" s="708"/>
      <c r="J265" s="730"/>
      <c r="K265" s="708"/>
      <c r="L265" s="708"/>
      <c r="M265" s="708"/>
      <c r="N265" s="708"/>
      <c r="O265" s="313"/>
    </row>
    <row r="266" spans="1:16" ht="18.75">
      <c r="B266" s="657"/>
      <c r="C266" s="656" t="s">
        <v>86</v>
      </c>
      <c r="D266" s="538"/>
      <c r="E266" s="313"/>
      <c r="F266" s="313"/>
      <c r="G266" s="313"/>
      <c r="H266" s="708"/>
      <c r="I266" s="708"/>
      <c r="J266" s="730"/>
      <c r="K266" s="708"/>
      <c r="L266" s="708"/>
      <c r="M266" s="708"/>
      <c r="N266" s="708"/>
      <c r="O266" s="313"/>
    </row>
    <row r="267" spans="1:16" ht="15.75" thickBot="1">
      <c r="C267" s="239"/>
      <c r="D267" s="538"/>
      <c r="E267" s="313"/>
      <c r="F267" s="313"/>
      <c r="G267" s="313"/>
      <c r="H267" s="708"/>
      <c r="I267" s="708"/>
      <c r="J267" s="730"/>
      <c r="K267" s="708"/>
      <c r="L267" s="708"/>
      <c r="M267" s="708"/>
      <c r="N267" s="708"/>
      <c r="O267" s="313"/>
    </row>
    <row r="268" spans="1:16" ht="15.75">
      <c r="C268" s="659" t="s">
        <v>87</v>
      </c>
      <c r="D268" s="538"/>
      <c r="E268" s="313"/>
      <c r="F268" s="313"/>
      <c r="G268" s="806"/>
      <c r="H268" s="313" t="s">
        <v>66</v>
      </c>
      <c r="I268" s="313"/>
      <c r="J268" s="426"/>
      <c r="K268" s="740" t="s">
        <v>91</v>
      </c>
      <c r="L268" s="741"/>
      <c r="M268" s="742"/>
      <c r="N268" s="743">
        <f>IF(I274=0,0,VLOOKUP(I274,C281:O340,5))</f>
        <v>1114220.5158347765</v>
      </c>
      <c r="O268" s="313"/>
    </row>
    <row r="269" spans="1:16" ht="15.75">
      <c r="C269" s="659"/>
      <c r="D269" s="538"/>
      <c r="E269" s="313"/>
      <c r="F269" s="313"/>
      <c r="G269" s="313"/>
      <c r="H269" s="744"/>
      <c r="I269" s="744"/>
      <c r="J269" s="745"/>
      <c r="K269" s="746" t="s">
        <v>92</v>
      </c>
      <c r="L269" s="747"/>
      <c r="M269" s="426"/>
      <c r="N269" s="748">
        <f>IF(I274=0,0,VLOOKUP(I274,C281:O340,6))</f>
        <v>1114220.5158347765</v>
      </c>
      <c r="O269" s="313"/>
    </row>
    <row r="270" spans="1:16" ht="13.5" thickBot="1">
      <c r="C270" s="749" t="s">
        <v>88</v>
      </c>
      <c r="D270" s="1537" t="s">
        <v>810</v>
      </c>
      <c r="E270" s="1537"/>
      <c r="F270" s="1537"/>
      <c r="G270" s="1537"/>
      <c r="H270" s="1537"/>
      <c r="I270" s="1537"/>
      <c r="J270" s="730"/>
      <c r="K270" s="750" t="s">
        <v>230</v>
      </c>
      <c r="L270" s="751"/>
      <c r="M270" s="751"/>
      <c r="N270" s="752">
        <f>+N269-N268</f>
        <v>0</v>
      </c>
      <c r="O270" s="313"/>
    </row>
    <row r="271" spans="1:16">
      <c r="C271" s="753"/>
      <c r="D271" s="754"/>
      <c r="E271" s="734"/>
      <c r="F271" s="734"/>
      <c r="G271" s="755"/>
      <c r="H271" s="708"/>
      <c r="I271" s="708"/>
      <c r="J271" s="730"/>
      <c r="K271" s="708"/>
      <c r="L271" s="708"/>
      <c r="M271" s="708"/>
      <c r="N271" s="708"/>
      <c r="O271" s="313"/>
    </row>
    <row r="272" spans="1:16" ht="13.5" thickBot="1">
      <c r="C272" s="756"/>
      <c r="D272" s="757"/>
      <c r="E272" s="755"/>
      <c r="F272" s="755"/>
      <c r="G272" s="755"/>
      <c r="H272" s="755"/>
      <c r="I272" s="755"/>
      <c r="J272" s="758"/>
      <c r="K272" s="755"/>
      <c r="L272" s="755"/>
      <c r="M272" s="755"/>
      <c r="N272" s="755"/>
      <c r="O272" s="347"/>
    </row>
    <row r="273" spans="2:15" ht="13.5" thickBot="1">
      <c r="C273" s="759" t="s">
        <v>89</v>
      </c>
      <c r="D273" s="760"/>
      <c r="E273" s="760"/>
      <c r="F273" s="760"/>
      <c r="G273" s="760"/>
      <c r="H273" s="760"/>
      <c r="I273" s="761"/>
      <c r="J273" s="762"/>
      <c r="K273" s="313"/>
      <c r="L273" s="313"/>
      <c r="M273" s="313"/>
      <c r="N273" s="313"/>
      <c r="O273" s="763"/>
    </row>
    <row r="274" spans="2:15" ht="15">
      <c r="C274" s="764" t="s">
        <v>67</v>
      </c>
      <c r="D274" s="808">
        <v>8345675</v>
      </c>
      <c r="E274" s="725" t="s">
        <v>68</v>
      </c>
      <c r="G274" s="765"/>
      <c r="H274" s="765"/>
      <c r="I274" s="766">
        <f>$L$26</f>
        <v>2023</v>
      </c>
      <c r="J274" s="554"/>
      <c r="K274" s="1536" t="s">
        <v>239</v>
      </c>
      <c r="L274" s="1536"/>
      <c r="M274" s="1536"/>
      <c r="N274" s="1536"/>
      <c r="O274" s="1536"/>
    </row>
    <row r="275" spans="2:15">
      <c r="C275" s="764" t="s">
        <v>70</v>
      </c>
      <c r="D275" s="809">
        <v>2013</v>
      </c>
      <c r="E275" s="764" t="s">
        <v>71</v>
      </c>
      <c r="F275" s="765"/>
      <c r="H275" s="172"/>
      <c r="I275" s="810">
        <f>IF(G268="",0,$F$17)</f>
        <v>0</v>
      </c>
      <c r="J275" s="767"/>
      <c r="K275" s="730" t="s">
        <v>239</v>
      </c>
    </row>
    <row r="276" spans="2:15">
      <c r="C276" s="764" t="s">
        <v>72</v>
      </c>
      <c r="D276" s="808">
        <v>11</v>
      </c>
      <c r="E276" s="764" t="s">
        <v>73</v>
      </c>
      <c r="F276" s="765"/>
      <c r="H276" s="172"/>
      <c r="I276" s="768">
        <f>$G$70</f>
        <v>0.14450383244078713</v>
      </c>
      <c r="J276" s="769"/>
      <c r="K276" s="172" t="str">
        <f>"          INPUT PROJECTED ARR (WITH &amp; WITHOUT INCENTIVES) FROM EACH PRIOR YEAR"</f>
        <v xml:space="preserve">          INPUT PROJECTED ARR (WITH &amp; WITHOUT INCENTIVES) FROM EACH PRIOR YEAR</v>
      </c>
    </row>
    <row r="277" spans="2:15">
      <c r="C277" s="764" t="s">
        <v>74</v>
      </c>
      <c r="D277" s="770">
        <f>$G$79</f>
        <v>35</v>
      </c>
      <c r="E277" s="764" t="s">
        <v>75</v>
      </c>
      <c r="F277" s="765"/>
      <c r="H277" s="172"/>
      <c r="I277" s="768">
        <f>IF(G268="",I276,$G$69)</f>
        <v>0.14450383244078713</v>
      </c>
      <c r="J277" s="771"/>
      <c r="K277" s="172" t="s">
        <v>152</v>
      </c>
    </row>
    <row r="278" spans="2:15" ht="13.5" thickBot="1">
      <c r="C278" s="764" t="s">
        <v>76</v>
      </c>
      <c r="D278" s="807" t="s">
        <v>808</v>
      </c>
      <c r="E278" s="772" t="s">
        <v>77</v>
      </c>
      <c r="F278" s="773"/>
      <c r="G278" s="774"/>
      <c r="H278" s="774"/>
      <c r="I278" s="752">
        <f>IF(D274=0,0,D274/D277)</f>
        <v>238447.85714285713</v>
      </c>
      <c r="J278" s="730"/>
      <c r="K278" s="730" t="s">
        <v>158</v>
      </c>
      <c r="L278" s="730"/>
      <c r="M278" s="730"/>
      <c r="N278" s="730"/>
      <c r="O278" s="426"/>
    </row>
    <row r="279" spans="2:15" ht="38.25">
      <c r="B279" s="845"/>
      <c r="C279" s="775" t="s">
        <v>67</v>
      </c>
      <c r="D279" s="776" t="s">
        <v>78</v>
      </c>
      <c r="E279" s="777" t="s">
        <v>79</v>
      </c>
      <c r="F279" s="776" t="s">
        <v>80</v>
      </c>
      <c r="G279" s="777" t="s">
        <v>151</v>
      </c>
      <c r="H279" s="778" t="s">
        <v>151</v>
      </c>
      <c r="I279" s="775" t="s">
        <v>90</v>
      </c>
      <c r="J279" s="779"/>
      <c r="K279" s="777" t="s">
        <v>160</v>
      </c>
      <c r="L279" s="780"/>
      <c r="M279" s="777" t="s">
        <v>160</v>
      </c>
      <c r="N279" s="780"/>
      <c r="O279" s="780"/>
    </row>
    <row r="280" spans="2:15" ht="13.5" thickBot="1">
      <c r="C280" s="781" t="s">
        <v>469</v>
      </c>
      <c r="D280" s="782" t="s">
        <v>470</v>
      </c>
      <c r="E280" s="781" t="s">
        <v>363</v>
      </c>
      <c r="F280" s="782" t="s">
        <v>470</v>
      </c>
      <c r="G280" s="783" t="s">
        <v>93</v>
      </c>
      <c r="H280" s="784" t="s">
        <v>95</v>
      </c>
      <c r="I280" s="785" t="s">
        <v>15</v>
      </c>
      <c r="J280" s="786"/>
      <c r="K280" s="783" t="s">
        <v>82</v>
      </c>
      <c r="L280" s="787"/>
      <c r="M280" s="783" t="s">
        <v>95</v>
      </c>
      <c r="N280" s="787"/>
      <c r="O280" s="787"/>
    </row>
    <row r="281" spans="2:15">
      <c r="C281" s="788">
        <f>IF(D275= "","-",D275)</f>
        <v>2013</v>
      </c>
      <c r="D281" s="736">
        <f>+D274</f>
        <v>8345675</v>
      </c>
      <c r="E281" s="789">
        <f>+I278/12*(12-D276)</f>
        <v>19870.65476190476</v>
      </c>
      <c r="F281" s="736">
        <f>+D281-E281</f>
        <v>8325804.3452380951</v>
      </c>
      <c r="G281" s="985">
        <f>+$I$96*((D281+F281)/2)+E281</f>
        <v>1224416.9836840695</v>
      </c>
      <c r="H281" s="986">
        <f>$I$97*((D281+F281)/2)+E281</f>
        <v>1224416.9836840695</v>
      </c>
      <c r="I281" s="792">
        <f>+H281-G281</f>
        <v>0</v>
      </c>
      <c r="J281" s="792"/>
      <c r="K281" s="811">
        <v>443007</v>
      </c>
      <c r="L281" s="793"/>
      <c r="M281" s="811">
        <v>443007</v>
      </c>
      <c r="N281" s="793"/>
      <c r="O281" s="793"/>
    </row>
    <row r="282" spans="2:15">
      <c r="C282" s="788">
        <f>IF(D275="","-",+C281+1)</f>
        <v>2014</v>
      </c>
      <c r="D282" s="736">
        <f t="shared" ref="D282:D340" si="12">F281</f>
        <v>8325804.3452380951</v>
      </c>
      <c r="E282" s="789">
        <f>IF(D282&gt;$I$278,$I$278,D282)</f>
        <v>238447.85714285713</v>
      </c>
      <c r="F282" s="736">
        <f t="shared" ref="F282:F340" si="13">+D282-E282</f>
        <v>8087356.4880952379</v>
      </c>
      <c r="G282" s="794">
        <f t="shared" ref="G282:G340" si="14">+$I$96*((D282+F282)/2)+E282</f>
        <v>1424330.1785847021</v>
      </c>
      <c r="H282" s="795">
        <f t="shared" ref="H282:H340" si="15">$I$97*((D282+F282)/2)+E282</f>
        <v>1424330.1785847021</v>
      </c>
      <c r="I282" s="792">
        <f t="shared" ref="I282:I340" si="16">+H282-G282</f>
        <v>0</v>
      </c>
      <c r="J282" s="792"/>
      <c r="K282" s="812">
        <v>964332</v>
      </c>
      <c r="L282" s="796"/>
      <c r="M282" s="812">
        <v>964332</v>
      </c>
      <c r="N282" s="796"/>
      <c r="O282" s="796"/>
    </row>
    <row r="283" spans="2:15">
      <c r="C283" s="788">
        <f>IF(D275="","-",+C282+1)</f>
        <v>2015</v>
      </c>
      <c r="D283" s="736">
        <f t="shared" si="12"/>
        <v>8087356.4880952379</v>
      </c>
      <c r="E283" s="789">
        <f t="shared" ref="E283:E340" si="17">IF(D283&gt;$I$278,$I$278,D283)</f>
        <v>238447.85714285713</v>
      </c>
      <c r="F283" s="736">
        <f t="shared" si="13"/>
        <v>7848908.6309523806</v>
      </c>
      <c r="G283" s="794">
        <f t="shared" si="14"/>
        <v>1389873.549390266</v>
      </c>
      <c r="H283" s="795">
        <f t="shared" si="15"/>
        <v>1389873.549390266</v>
      </c>
      <c r="I283" s="792">
        <f t="shared" si="16"/>
        <v>0</v>
      </c>
      <c r="J283" s="792"/>
      <c r="K283" s="812">
        <v>1065163</v>
      </c>
      <c r="L283" s="796"/>
      <c r="M283" s="812">
        <v>1065163</v>
      </c>
      <c r="N283" s="796"/>
      <c r="O283" s="796"/>
    </row>
    <row r="284" spans="2:15">
      <c r="C284" s="788">
        <f>IF(D275="","-",+C283+1)</f>
        <v>2016</v>
      </c>
      <c r="D284" s="736">
        <f t="shared" si="12"/>
        <v>7848908.6309523806</v>
      </c>
      <c r="E284" s="789">
        <f t="shared" si="17"/>
        <v>238447.85714285713</v>
      </c>
      <c r="F284" s="736">
        <f t="shared" si="13"/>
        <v>7610460.7738095233</v>
      </c>
      <c r="G284" s="794">
        <f t="shared" si="14"/>
        <v>1355416.9201958296</v>
      </c>
      <c r="H284" s="795">
        <f t="shared" si="15"/>
        <v>1355416.9201958296</v>
      </c>
      <c r="I284" s="792">
        <f t="shared" si="16"/>
        <v>0</v>
      </c>
      <c r="J284" s="792"/>
      <c r="K284" s="812">
        <v>1173750</v>
      </c>
      <c r="L284" s="796"/>
      <c r="M284" s="812">
        <v>1173750</v>
      </c>
      <c r="N284" s="796"/>
      <c r="O284" s="796"/>
    </row>
    <row r="285" spans="2:15">
      <c r="C285" s="788">
        <f>IF(D275="","-",+C284+1)</f>
        <v>2017</v>
      </c>
      <c r="D285" s="736">
        <f t="shared" si="12"/>
        <v>7610460.7738095233</v>
      </c>
      <c r="E285" s="789">
        <f t="shared" si="17"/>
        <v>238447.85714285713</v>
      </c>
      <c r="F285" s="736">
        <f t="shared" si="13"/>
        <v>7372012.916666666</v>
      </c>
      <c r="G285" s="794">
        <f t="shared" si="14"/>
        <v>1320960.2910013935</v>
      </c>
      <c r="H285" s="795">
        <f t="shared" si="15"/>
        <v>1320960.2910013935</v>
      </c>
      <c r="I285" s="792">
        <f t="shared" si="16"/>
        <v>0</v>
      </c>
      <c r="J285" s="792"/>
      <c r="K285" s="812">
        <v>1404427</v>
      </c>
      <c r="L285" s="796"/>
      <c r="M285" s="812">
        <v>1404427</v>
      </c>
      <c r="N285" s="796"/>
      <c r="O285" s="796"/>
    </row>
    <row r="286" spans="2:15">
      <c r="C286" s="1312">
        <f>IF(D275="","-",+C285+1)</f>
        <v>2018</v>
      </c>
      <c r="D286" s="736">
        <f t="shared" si="12"/>
        <v>7372012.916666666</v>
      </c>
      <c r="E286" s="789">
        <f t="shared" si="17"/>
        <v>238447.85714285713</v>
      </c>
      <c r="F286" s="736">
        <f t="shared" si="13"/>
        <v>7133565.0595238088</v>
      </c>
      <c r="G286" s="794">
        <f t="shared" si="14"/>
        <v>1286503.6618069573</v>
      </c>
      <c r="H286" s="795">
        <f t="shared" si="15"/>
        <v>1286503.6618069573</v>
      </c>
      <c r="I286" s="792">
        <f t="shared" si="16"/>
        <v>0</v>
      </c>
      <c r="J286" s="792"/>
      <c r="K286" s="812">
        <v>1247990</v>
      </c>
      <c r="L286" s="796"/>
      <c r="M286" s="812">
        <v>1247990</v>
      </c>
      <c r="N286" s="796"/>
      <c r="O286" s="796"/>
    </row>
    <row r="287" spans="2:15">
      <c r="C287" s="1290">
        <f>IF(D275="","-",+C286+1)</f>
        <v>2019</v>
      </c>
      <c r="D287" s="736">
        <f t="shared" si="12"/>
        <v>7133565.0595238088</v>
      </c>
      <c r="E287" s="789">
        <f t="shared" si="17"/>
        <v>238447.85714285713</v>
      </c>
      <c r="F287" s="736">
        <f t="shared" si="13"/>
        <v>6895117.2023809515</v>
      </c>
      <c r="G287" s="794">
        <f t="shared" si="14"/>
        <v>1252047.0326125212</v>
      </c>
      <c r="H287" s="795">
        <f t="shared" si="15"/>
        <v>1252047.0326125212</v>
      </c>
      <c r="I287" s="792">
        <f t="shared" si="16"/>
        <v>0</v>
      </c>
      <c r="J287" s="792"/>
      <c r="K287" s="812"/>
      <c r="L287" s="796"/>
      <c r="M287" s="812"/>
      <c r="N287" s="796"/>
      <c r="O287" s="796"/>
    </row>
    <row r="288" spans="2:15">
      <c r="C288" s="788">
        <f>IF(D275="","-",+C287+1)</f>
        <v>2020</v>
      </c>
      <c r="D288" s="736">
        <f t="shared" si="12"/>
        <v>6895117.2023809515</v>
      </c>
      <c r="E288" s="789">
        <f t="shared" si="17"/>
        <v>238447.85714285713</v>
      </c>
      <c r="F288" s="736">
        <f t="shared" si="13"/>
        <v>6656669.3452380942</v>
      </c>
      <c r="G288" s="794">
        <f t="shared" si="14"/>
        <v>1217590.4034180848</v>
      </c>
      <c r="H288" s="795">
        <f t="shared" si="15"/>
        <v>1217590.4034180848</v>
      </c>
      <c r="I288" s="792">
        <f t="shared" si="16"/>
        <v>0</v>
      </c>
      <c r="J288" s="792"/>
      <c r="K288" s="812"/>
      <c r="L288" s="796"/>
      <c r="M288" s="812"/>
      <c r="N288" s="796"/>
      <c r="O288" s="796"/>
    </row>
    <row r="289" spans="3:15">
      <c r="C289" s="788">
        <f>IF(D275="","-",+C288+1)</f>
        <v>2021</v>
      </c>
      <c r="D289" s="736">
        <f t="shared" si="12"/>
        <v>6656669.3452380942</v>
      </c>
      <c r="E289" s="789">
        <f t="shared" si="17"/>
        <v>238447.85714285713</v>
      </c>
      <c r="F289" s="736">
        <f t="shared" si="13"/>
        <v>6418221.4880952369</v>
      </c>
      <c r="G289" s="794">
        <f t="shared" si="14"/>
        <v>1183133.7742236487</v>
      </c>
      <c r="H289" s="795">
        <f t="shared" si="15"/>
        <v>1183133.7742236487</v>
      </c>
      <c r="I289" s="792">
        <f t="shared" si="16"/>
        <v>0</v>
      </c>
      <c r="J289" s="792"/>
      <c r="K289" s="812"/>
      <c r="L289" s="796"/>
      <c r="M289" s="812"/>
      <c r="N289" s="796"/>
      <c r="O289" s="796"/>
    </row>
    <row r="290" spans="3:15">
      <c r="C290" s="788">
        <f>IF(D275="","-",+C289+1)</f>
        <v>2022</v>
      </c>
      <c r="D290" s="736">
        <f t="shared" si="12"/>
        <v>6418221.4880952369</v>
      </c>
      <c r="E290" s="789">
        <f t="shared" si="17"/>
        <v>238447.85714285713</v>
      </c>
      <c r="F290" s="736">
        <f t="shared" si="13"/>
        <v>6179773.6309523797</v>
      </c>
      <c r="G290" s="794">
        <f t="shared" si="14"/>
        <v>1148677.1450292126</v>
      </c>
      <c r="H290" s="795">
        <f t="shared" si="15"/>
        <v>1148677.1450292126</v>
      </c>
      <c r="I290" s="792">
        <f t="shared" si="16"/>
        <v>0</v>
      </c>
      <c r="J290" s="792"/>
      <c r="K290" s="812"/>
      <c r="L290" s="796"/>
      <c r="M290" s="812"/>
      <c r="N290" s="796"/>
      <c r="O290" s="796"/>
    </row>
    <row r="291" spans="3:15">
      <c r="C291" s="788">
        <f>IF(D275="","-",+C290+1)</f>
        <v>2023</v>
      </c>
      <c r="D291" s="736">
        <f t="shared" si="12"/>
        <v>6179773.6309523797</v>
      </c>
      <c r="E291" s="789">
        <f t="shared" si="17"/>
        <v>238447.85714285713</v>
      </c>
      <c r="F291" s="736">
        <f t="shared" si="13"/>
        <v>5941325.7738095224</v>
      </c>
      <c r="G291" s="794">
        <f t="shared" si="14"/>
        <v>1114220.5158347765</v>
      </c>
      <c r="H291" s="795">
        <f t="shared" si="15"/>
        <v>1114220.5158347765</v>
      </c>
      <c r="I291" s="792">
        <f t="shared" si="16"/>
        <v>0</v>
      </c>
      <c r="J291" s="792"/>
      <c r="K291" s="812"/>
      <c r="L291" s="796"/>
      <c r="M291" s="812"/>
      <c r="N291" s="796"/>
      <c r="O291" s="796"/>
    </row>
    <row r="292" spans="3:15">
      <c r="C292" s="788">
        <f>IF(D275="","-",+C291+1)</f>
        <v>2024</v>
      </c>
      <c r="D292" s="736">
        <f t="shared" si="12"/>
        <v>5941325.7738095224</v>
      </c>
      <c r="E292" s="789">
        <f t="shared" si="17"/>
        <v>238447.85714285713</v>
      </c>
      <c r="F292" s="736">
        <f t="shared" si="13"/>
        <v>5702877.9166666651</v>
      </c>
      <c r="G292" s="794">
        <f t="shared" si="14"/>
        <v>1079763.8866403401</v>
      </c>
      <c r="H292" s="795">
        <f t="shared" si="15"/>
        <v>1079763.8866403401</v>
      </c>
      <c r="I292" s="792">
        <f t="shared" si="16"/>
        <v>0</v>
      </c>
      <c r="J292" s="792"/>
      <c r="K292" s="812"/>
      <c r="L292" s="796"/>
      <c r="M292" s="812"/>
      <c r="N292" s="796"/>
      <c r="O292" s="796"/>
    </row>
    <row r="293" spans="3:15">
      <c r="C293" s="788">
        <f>IF(D275="","-",+C292+1)</f>
        <v>2025</v>
      </c>
      <c r="D293" s="736">
        <f t="shared" si="12"/>
        <v>5702877.9166666651</v>
      </c>
      <c r="E293" s="789">
        <f t="shared" si="17"/>
        <v>238447.85714285713</v>
      </c>
      <c r="F293" s="736">
        <f t="shared" si="13"/>
        <v>5464430.0595238078</v>
      </c>
      <c r="G293" s="794">
        <f t="shared" si="14"/>
        <v>1045307.2574459041</v>
      </c>
      <c r="H293" s="795">
        <f t="shared" si="15"/>
        <v>1045307.2574459041</v>
      </c>
      <c r="I293" s="792">
        <f t="shared" si="16"/>
        <v>0</v>
      </c>
      <c r="J293" s="792"/>
      <c r="K293" s="812"/>
      <c r="L293" s="796"/>
      <c r="M293" s="812"/>
      <c r="N293" s="797"/>
      <c r="O293" s="796"/>
    </row>
    <row r="294" spans="3:15">
      <c r="C294" s="788">
        <f>IF(D275="","-",+C293+1)</f>
        <v>2026</v>
      </c>
      <c r="D294" s="736">
        <f t="shared" si="12"/>
        <v>5464430.0595238078</v>
      </c>
      <c r="E294" s="789">
        <f t="shared" si="17"/>
        <v>238447.85714285713</v>
      </c>
      <c r="F294" s="736">
        <f t="shared" si="13"/>
        <v>5225982.2023809506</v>
      </c>
      <c r="G294" s="794">
        <f t="shared" si="14"/>
        <v>1010850.6282514677</v>
      </c>
      <c r="H294" s="795">
        <f t="shared" si="15"/>
        <v>1010850.6282514677</v>
      </c>
      <c r="I294" s="792">
        <f t="shared" si="16"/>
        <v>0</v>
      </c>
      <c r="J294" s="792"/>
      <c r="K294" s="812"/>
      <c r="L294" s="796"/>
      <c r="M294" s="812"/>
      <c r="N294" s="796"/>
      <c r="O294" s="796"/>
    </row>
    <row r="295" spans="3:15">
      <c r="C295" s="788">
        <f>IF(D275="","-",+C294+1)</f>
        <v>2027</v>
      </c>
      <c r="D295" s="736">
        <f t="shared" si="12"/>
        <v>5225982.2023809506</v>
      </c>
      <c r="E295" s="789">
        <f t="shared" si="17"/>
        <v>238447.85714285713</v>
      </c>
      <c r="F295" s="736">
        <f t="shared" si="13"/>
        <v>4987534.3452380933</v>
      </c>
      <c r="G295" s="794">
        <f t="shared" si="14"/>
        <v>976393.9990570317</v>
      </c>
      <c r="H295" s="795">
        <f t="shared" si="15"/>
        <v>976393.9990570317</v>
      </c>
      <c r="I295" s="792">
        <f t="shared" si="16"/>
        <v>0</v>
      </c>
      <c r="J295" s="792"/>
      <c r="K295" s="812"/>
      <c r="L295" s="796"/>
      <c r="M295" s="812"/>
      <c r="N295" s="796"/>
      <c r="O295" s="796"/>
    </row>
    <row r="296" spans="3:15">
      <c r="C296" s="788">
        <f>IF(D275="","-",+C295+1)</f>
        <v>2028</v>
      </c>
      <c r="D296" s="736">
        <f t="shared" si="12"/>
        <v>4987534.3452380933</v>
      </c>
      <c r="E296" s="789">
        <f t="shared" si="17"/>
        <v>238447.85714285713</v>
      </c>
      <c r="F296" s="736">
        <f t="shared" si="13"/>
        <v>4749086.488095236</v>
      </c>
      <c r="G296" s="794">
        <f t="shared" si="14"/>
        <v>941937.36986259534</v>
      </c>
      <c r="H296" s="795">
        <f t="shared" si="15"/>
        <v>941937.36986259534</v>
      </c>
      <c r="I296" s="792">
        <f t="shared" si="16"/>
        <v>0</v>
      </c>
      <c r="J296" s="792"/>
      <c r="K296" s="812"/>
      <c r="L296" s="796"/>
      <c r="M296" s="812"/>
      <c r="N296" s="796"/>
      <c r="O296" s="796"/>
    </row>
    <row r="297" spans="3:15">
      <c r="C297" s="788">
        <f>IF(D275="","-",+C296+1)</f>
        <v>2029</v>
      </c>
      <c r="D297" s="736">
        <f t="shared" si="12"/>
        <v>4749086.488095236</v>
      </c>
      <c r="E297" s="789">
        <f t="shared" si="17"/>
        <v>238447.85714285713</v>
      </c>
      <c r="F297" s="736">
        <f t="shared" si="13"/>
        <v>4510638.6309523787</v>
      </c>
      <c r="G297" s="794">
        <f t="shared" si="14"/>
        <v>907480.74066815933</v>
      </c>
      <c r="H297" s="795">
        <f t="shared" si="15"/>
        <v>907480.74066815933</v>
      </c>
      <c r="I297" s="792">
        <f t="shared" si="16"/>
        <v>0</v>
      </c>
      <c r="J297" s="792"/>
      <c r="K297" s="812"/>
      <c r="L297" s="796"/>
      <c r="M297" s="812"/>
      <c r="N297" s="796"/>
      <c r="O297" s="796"/>
    </row>
    <row r="298" spans="3:15">
      <c r="C298" s="788">
        <f>IF(D275="","-",+C297+1)</f>
        <v>2030</v>
      </c>
      <c r="D298" s="736">
        <f t="shared" si="12"/>
        <v>4510638.6309523787</v>
      </c>
      <c r="E298" s="789">
        <f t="shared" si="17"/>
        <v>238447.85714285713</v>
      </c>
      <c r="F298" s="736">
        <f t="shared" si="13"/>
        <v>4272190.7738095215</v>
      </c>
      <c r="G298" s="794">
        <f t="shared" si="14"/>
        <v>873024.11147372297</v>
      </c>
      <c r="H298" s="795">
        <f t="shared" si="15"/>
        <v>873024.11147372297</v>
      </c>
      <c r="I298" s="792">
        <f t="shared" si="16"/>
        <v>0</v>
      </c>
      <c r="J298" s="792"/>
      <c r="K298" s="812"/>
      <c r="L298" s="796"/>
      <c r="M298" s="812"/>
      <c r="N298" s="796"/>
      <c r="O298" s="796"/>
    </row>
    <row r="299" spans="3:15">
      <c r="C299" s="788">
        <f>IF(D275="","-",+C298+1)</f>
        <v>2031</v>
      </c>
      <c r="D299" s="736">
        <f t="shared" si="12"/>
        <v>4272190.7738095215</v>
      </c>
      <c r="E299" s="789">
        <f t="shared" si="17"/>
        <v>238447.85714285713</v>
      </c>
      <c r="F299" s="736">
        <f t="shared" si="13"/>
        <v>4033742.9166666642</v>
      </c>
      <c r="G299" s="794">
        <f t="shared" si="14"/>
        <v>838567.48227928684</v>
      </c>
      <c r="H299" s="795">
        <f t="shared" si="15"/>
        <v>838567.48227928684</v>
      </c>
      <c r="I299" s="792">
        <f t="shared" si="16"/>
        <v>0</v>
      </c>
      <c r="J299" s="792"/>
      <c r="K299" s="812"/>
      <c r="L299" s="796"/>
      <c r="M299" s="812"/>
      <c r="N299" s="796"/>
      <c r="O299" s="796"/>
    </row>
    <row r="300" spans="3:15">
      <c r="C300" s="788">
        <f>IF(D275="","-",+C299+1)</f>
        <v>2032</v>
      </c>
      <c r="D300" s="736">
        <f t="shared" si="12"/>
        <v>4033742.9166666642</v>
      </c>
      <c r="E300" s="789">
        <f t="shared" si="17"/>
        <v>238447.85714285713</v>
      </c>
      <c r="F300" s="736">
        <f t="shared" si="13"/>
        <v>3795295.0595238069</v>
      </c>
      <c r="G300" s="794">
        <f t="shared" si="14"/>
        <v>804110.85308485071</v>
      </c>
      <c r="H300" s="795">
        <f t="shared" si="15"/>
        <v>804110.85308485071</v>
      </c>
      <c r="I300" s="792">
        <f t="shared" si="16"/>
        <v>0</v>
      </c>
      <c r="J300" s="792"/>
      <c r="K300" s="812"/>
      <c r="L300" s="796"/>
      <c r="M300" s="812"/>
      <c r="N300" s="796"/>
      <c r="O300" s="796"/>
    </row>
    <row r="301" spans="3:15">
      <c r="C301" s="788">
        <f>IF(D275="","-",+C300+1)</f>
        <v>2033</v>
      </c>
      <c r="D301" s="736">
        <f t="shared" si="12"/>
        <v>3795295.0595238069</v>
      </c>
      <c r="E301" s="789">
        <f t="shared" si="17"/>
        <v>238447.85714285713</v>
      </c>
      <c r="F301" s="736">
        <f t="shared" si="13"/>
        <v>3556847.2023809496</v>
      </c>
      <c r="G301" s="794">
        <f t="shared" si="14"/>
        <v>769654.22389041446</v>
      </c>
      <c r="H301" s="795">
        <f t="shared" si="15"/>
        <v>769654.22389041446</v>
      </c>
      <c r="I301" s="792">
        <f t="shared" si="16"/>
        <v>0</v>
      </c>
      <c r="J301" s="792"/>
      <c r="K301" s="812"/>
      <c r="L301" s="796"/>
      <c r="M301" s="812"/>
      <c r="N301" s="796"/>
      <c r="O301" s="796"/>
    </row>
    <row r="302" spans="3:15">
      <c r="C302" s="788">
        <f>IF(D275="","-",+C301+1)</f>
        <v>2034</v>
      </c>
      <c r="D302" s="736">
        <f t="shared" si="12"/>
        <v>3556847.2023809496</v>
      </c>
      <c r="E302" s="789">
        <f t="shared" si="17"/>
        <v>238447.85714285713</v>
      </c>
      <c r="F302" s="736">
        <f t="shared" si="13"/>
        <v>3318399.3452380924</v>
      </c>
      <c r="G302" s="794">
        <f t="shared" si="14"/>
        <v>735197.59469597822</v>
      </c>
      <c r="H302" s="795">
        <f t="shared" si="15"/>
        <v>735197.59469597822</v>
      </c>
      <c r="I302" s="792">
        <f t="shared" si="16"/>
        <v>0</v>
      </c>
      <c r="J302" s="792"/>
      <c r="K302" s="812"/>
      <c r="L302" s="796"/>
      <c r="M302" s="812"/>
      <c r="N302" s="796"/>
      <c r="O302" s="796"/>
    </row>
    <row r="303" spans="3:15">
      <c r="C303" s="788">
        <f>IF(D275="","-",+C302+1)</f>
        <v>2035</v>
      </c>
      <c r="D303" s="736">
        <f t="shared" si="12"/>
        <v>3318399.3452380924</v>
      </c>
      <c r="E303" s="789">
        <f t="shared" si="17"/>
        <v>238447.85714285713</v>
      </c>
      <c r="F303" s="736">
        <f t="shared" si="13"/>
        <v>3079951.4880952351</v>
      </c>
      <c r="G303" s="794">
        <f t="shared" si="14"/>
        <v>700740.96550154209</v>
      </c>
      <c r="H303" s="795">
        <f t="shared" si="15"/>
        <v>700740.96550154209</v>
      </c>
      <c r="I303" s="792">
        <f t="shared" si="16"/>
        <v>0</v>
      </c>
      <c r="J303" s="792"/>
      <c r="K303" s="812"/>
      <c r="L303" s="796"/>
      <c r="M303" s="812"/>
      <c r="N303" s="796"/>
      <c r="O303" s="796"/>
    </row>
    <row r="304" spans="3:15">
      <c r="C304" s="788">
        <f>IF(D275="","-",+C303+1)</f>
        <v>2036</v>
      </c>
      <c r="D304" s="736">
        <f t="shared" si="12"/>
        <v>3079951.4880952351</v>
      </c>
      <c r="E304" s="789">
        <f t="shared" si="17"/>
        <v>238447.85714285713</v>
      </c>
      <c r="F304" s="736">
        <f t="shared" si="13"/>
        <v>2841503.6309523778</v>
      </c>
      <c r="G304" s="794">
        <f t="shared" si="14"/>
        <v>666284.33630710584</v>
      </c>
      <c r="H304" s="795">
        <f t="shared" si="15"/>
        <v>666284.33630710584</v>
      </c>
      <c r="I304" s="792">
        <f t="shared" si="16"/>
        <v>0</v>
      </c>
      <c r="J304" s="792"/>
      <c r="K304" s="812"/>
      <c r="L304" s="796"/>
      <c r="M304" s="812"/>
      <c r="N304" s="796"/>
      <c r="O304" s="796"/>
    </row>
    <row r="305" spans="3:15">
      <c r="C305" s="788">
        <f>IF(D275="","-",+C304+1)</f>
        <v>2037</v>
      </c>
      <c r="D305" s="736">
        <f t="shared" si="12"/>
        <v>2841503.6309523778</v>
      </c>
      <c r="E305" s="789">
        <f t="shared" si="17"/>
        <v>238447.85714285713</v>
      </c>
      <c r="F305" s="736">
        <f t="shared" si="13"/>
        <v>2603055.7738095205</v>
      </c>
      <c r="G305" s="794">
        <f t="shared" si="14"/>
        <v>631827.70711266971</v>
      </c>
      <c r="H305" s="795">
        <f t="shared" si="15"/>
        <v>631827.70711266971</v>
      </c>
      <c r="I305" s="792">
        <f t="shared" si="16"/>
        <v>0</v>
      </c>
      <c r="J305" s="792"/>
      <c r="K305" s="812"/>
      <c r="L305" s="796"/>
      <c r="M305" s="812"/>
      <c r="N305" s="796"/>
      <c r="O305" s="796"/>
    </row>
    <row r="306" spans="3:15">
      <c r="C306" s="788">
        <f>IF(D275="","-",+C305+1)</f>
        <v>2038</v>
      </c>
      <c r="D306" s="736">
        <f t="shared" si="12"/>
        <v>2603055.7738095205</v>
      </c>
      <c r="E306" s="789">
        <f t="shared" si="17"/>
        <v>238447.85714285713</v>
      </c>
      <c r="F306" s="736">
        <f t="shared" si="13"/>
        <v>2364607.9166666633</v>
      </c>
      <c r="G306" s="794">
        <f t="shared" si="14"/>
        <v>597371.07791823347</v>
      </c>
      <c r="H306" s="795">
        <f t="shared" si="15"/>
        <v>597371.07791823347</v>
      </c>
      <c r="I306" s="792">
        <f t="shared" si="16"/>
        <v>0</v>
      </c>
      <c r="J306" s="792"/>
      <c r="K306" s="812"/>
      <c r="L306" s="796"/>
      <c r="M306" s="812"/>
      <c r="N306" s="796"/>
      <c r="O306" s="796"/>
    </row>
    <row r="307" spans="3:15">
      <c r="C307" s="788">
        <f>IF(D275="","-",+C306+1)</f>
        <v>2039</v>
      </c>
      <c r="D307" s="736">
        <f t="shared" si="12"/>
        <v>2364607.9166666633</v>
      </c>
      <c r="E307" s="789">
        <f t="shared" si="17"/>
        <v>238447.85714285713</v>
      </c>
      <c r="F307" s="736">
        <f t="shared" si="13"/>
        <v>2126160.059523806</v>
      </c>
      <c r="G307" s="794">
        <f t="shared" si="14"/>
        <v>562914.44872379722</v>
      </c>
      <c r="H307" s="795">
        <f t="shared" si="15"/>
        <v>562914.44872379722</v>
      </c>
      <c r="I307" s="792">
        <f t="shared" si="16"/>
        <v>0</v>
      </c>
      <c r="J307" s="792"/>
      <c r="K307" s="812"/>
      <c r="L307" s="796"/>
      <c r="M307" s="812"/>
      <c r="N307" s="796"/>
      <c r="O307" s="796"/>
    </row>
    <row r="308" spans="3:15">
      <c r="C308" s="788">
        <f>IF(D275="","-",+C307+1)</f>
        <v>2040</v>
      </c>
      <c r="D308" s="736">
        <f t="shared" si="12"/>
        <v>2126160.059523806</v>
      </c>
      <c r="E308" s="789">
        <f t="shared" si="17"/>
        <v>238447.85714285713</v>
      </c>
      <c r="F308" s="736">
        <f t="shared" si="13"/>
        <v>1887712.2023809489</v>
      </c>
      <c r="G308" s="794">
        <f t="shared" si="14"/>
        <v>528457.81952936109</v>
      </c>
      <c r="H308" s="795">
        <f t="shared" si="15"/>
        <v>528457.81952936109</v>
      </c>
      <c r="I308" s="792">
        <f t="shared" si="16"/>
        <v>0</v>
      </c>
      <c r="J308" s="792"/>
      <c r="K308" s="812"/>
      <c r="L308" s="796"/>
      <c r="M308" s="812"/>
      <c r="N308" s="796"/>
      <c r="O308" s="796"/>
    </row>
    <row r="309" spans="3:15">
      <c r="C309" s="788">
        <f>IF(D275="","-",+C308+1)</f>
        <v>2041</v>
      </c>
      <c r="D309" s="736">
        <f t="shared" si="12"/>
        <v>1887712.2023809489</v>
      </c>
      <c r="E309" s="789">
        <f t="shared" si="17"/>
        <v>238447.85714285713</v>
      </c>
      <c r="F309" s="736">
        <f t="shared" si="13"/>
        <v>1649264.3452380919</v>
      </c>
      <c r="G309" s="790">
        <f t="shared" si="14"/>
        <v>494001.19033492496</v>
      </c>
      <c r="H309" s="795">
        <f t="shared" si="15"/>
        <v>494001.19033492496</v>
      </c>
      <c r="I309" s="792">
        <f t="shared" si="16"/>
        <v>0</v>
      </c>
      <c r="J309" s="792"/>
      <c r="K309" s="812"/>
      <c r="L309" s="796"/>
      <c r="M309" s="812"/>
      <c r="N309" s="796"/>
      <c r="O309" s="796"/>
    </row>
    <row r="310" spans="3:15">
      <c r="C310" s="788">
        <f>IF(D275="","-",+C309+1)</f>
        <v>2042</v>
      </c>
      <c r="D310" s="736">
        <f t="shared" si="12"/>
        <v>1649264.3452380919</v>
      </c>
      <c r="E310" s="789">
        <f t="shared" si="17"/>
        <v>238447.85714285713</v>
      </c>
      <c r="F310" s="736">
        <f t="shared" si="13"/>
        <v>1410816.4880952348</v>
      </c>
      <c r="G310" s="794">
        <f t="shared" si="14"/>
        <v>459544.56114048872</v>
      </c>
      <c r="H310" s="795">
        <f t="shared" si="15"/>
        <v>459544.56114048872</v>
      </c>
      <c r="I310" s="792">
        <f t="shared" si="16"/>
        <v>0</v>
      </c>
      <c r="J310" s="792"/>
      <c r="K310" s="812"/>
      <c r="L310" s="796"/>
      <c r="M310" s="812"/>
      <c r="N310" s="796"/>
      <c r="O310" s="796"/>
    </row>
    <row r="311" spans="3:15">
      <c r="C311" s="788">
        <f>IF(D275="","-",+C310+1)</f>
        <v>2043</v>
      </c>
      <c r="D311" s="736">
        <f t="shared" si="12"/>
        <v>1410816.4880952348</v>
      </c>
      <c r="E311" s="789">
        <f t="shared" si="17"/>
        <v>238447.85714285713</v>
      </c>
      <c r="F311" s="736">
        <f t="shared" si="13"/>
        <v>1172368.6309523778</v>
      </c>
      <c r="G311" s="794">
        <f t="shared" si="14"/>
        <v>425087.93194605259</v>
      </c>
      <c r="H311" s="795">
        <f t="shared" si="15"/>
        <v>425087.93194605259</v>
      </c>
      <c r="I311" s="792">
        <f t="shared" si="16"/>
        <v>0</v>
      </c>
      <c r="J311" s="792"/>
      <c r="K311" s="812"/>
      <c r="L311" s="796"/>
      <c r="M311" s="812"/>
      <c r="N311" s="796"/>
      <c r="O311" s="796"/>
    </row>
    <row r="312" spans="3:15">
      <c r="C312" s="788">
        <f>IF(D275="","-",+C311+1)</f>
        <v>2044</v>
      </c>
      <c r="D312" s="736">
        <f t="shared" si="12"/>
        <v>1172368.6309523778</v>
      </c>
      <c r="E312" s="789">
        <f t="shared" si="17"/>
        <v>238447.85714285713</v>
      </c>
      <c r="F312" s="736">
        <f t="shared" si="13"/>
        <v>933920.77380952064</v>
      </c>
      <c r="G312" s="794">
        <f t="shared" si="14"/>
        <v>390631.30275161646</v>
      </c>
      <c r="H312" s="795">
        <f t="shared" si="15"/>
        <v>390631.30275161646</v>
      </c>
      <c r="I312" s="792">
        <f t="shared" si="16"/>
        <v>0</v>
      </c>
      <c r="J312" s="792"/>
      <c r="K312" s="812"/>
      <c r="L312" s="796"/>
      <c r="M312" s="812"/>
      <c r="N312" s="796"/>
      <c r="O312" s="796"/>
    </row>
    <row r="313" spans="3:15">
      <c r="C313" s="788">
        <f>IF(D275="","-",+C312+1)</f>
        <v>2045</v>
      </c>
      <c r="D313" s="736">
        <f t="shared" si="12"/>
        <v>933920.77380952064</v>
      </c>
      <c r="E313" s="789">
        <f t="shared" si="17"/>
        <v>238447.85714285713</v>
      </c>
      <c r="F313" s="736">
        <f t="shared" si="13"/>
        <v>695472.91666666348</v>
      </c>
      <c r="G313" s="794">
        <f t="shared" si="14"/>
        <v>356174.67355718027</v>
      </c>
      <c r="H313" s="795">
        <f t="shared" si="15"/>
        <v>356174.67355718027</v>
      </c>
      <c r="I313" s="792">
        <f t="shared" si="16"/>
        <v>0</v>
      </c>
      <c r="J313" s="792"/>
      <c r="K313" s="812"/>
      <c r="L313" s="796"/>
      <c r="M313" s="812"/>
      <c r="N313" s="796"/>
      <c r="O313" s="796"/>
    </row>
    <row r="314" spans="3:15">
      <c r="C314" s="788">
        <f>IF(D275="","-",+C313+1)</f>
        <v>2046</v>
      </c>
      <c r="D314" s="736">
        <f t="shared" si="12"/>
        <v>695472.91666666348</v>
      </c>
      <c r="E314" s="789">
        <f t="shared" si="17"/>
        <v>238447.85714285713</v>
      </c>
      <c r="F314" s="736">
        <f t="shared" si="13"/>
        <v>457025.05952380633</v>
      </c>
      <c r="G314" s="794">
        <f t="shared" si="14"/>
        <v>321718.04436274408</v>
      </c>
      <c r="H314" s="795">
        <f t="shared" si="15"/>
        <v>321718.04436274408</v>
      </c>
      <c r="I314" s="792">
        <f t="shared" si="16"/>
        <v>0</v>
      </c>
      <c r="J314" s="792"/>
      <c r="K314" s="812"/>
      <c r="L314" s="796"/>
      <c r="M314" s="812"/>
      <c r="N314" s="796"/>
      <c r="O314" s="796"/>
    </row>
    <row r="315" spans="3:15">
      <c r="C315" s="788">
        <f>IF(D275="","-",+C314+1)</f>
        <v>2047</v>
      </c>
      <c r="D315" s="736">
        <f t="shared" si="12"/>
        <v>457025.05952380633</v>
      </c>
      <c r="E315" s="789">
        <f t="shared" si="17"/>
        <v>238447.85714285713</v>
      </c>
      <c r="F315" s="736">
        <f t="shared" si="13"/>
        <v>218577.20238094919</v>
      </c>
      <c r="G315" s="794">
        <f t="shared" si="14"/>
        <v>287261.4151683079</v>
      </c>
      <c r="H315" s="795">
        <f t="shared" si="15"/>
        <v>287261.4151683079</v>
      </c>
      <c r="I315" s="792">
        <f t="shared" si="16"/>
        <v>0</v>
      </c>
      <c r="J315" s="792"/>
      <c r="K315" s="812"/>
      <c r="L315" s="796"/>
      <c r="M315" s="812"/>
      <c r="N315" s="796"/>
      <c r="O315" s="796"/>
    </row>
    <row r="316" spans="3:15">
      <c r="C316" s="788">
        <f>IF(D275="","-",+C315+1)</f>
        <v>2048</v>
      </c>
      <c r="D316" s="736">
        <f t="shared" si="12"/>
        <v>218577.20238094919</v>
      </c>
      <c r="E316" s="789">
        <f t="shared" si="17"/>
        <v>218577.20238094919</v>
      </c>
      <c r="F316" s="736">
        <f t="shared" si="13"/>
        <v>0</v>
      </c>
      <c r="G316" s="794">
        <f t="shared" si="14"/>
        <v>234369.82409506553</v>
      </c>
      <c r="H316" s="795">
        <f t="shared" si="15"/>
        <v>234369.82409506553</v>
      </c>
      <c r="I316" s="792">
        <f t="shared" si="16"/>
        <v>0</v>
      </c>
      <c r="J316" s="792"/>
      <c r="K316" s="812"/>
      <c r="L316" s="796"/>
      <c r="M316" s="812"/>
      <c r="N316" s="796"/>
      <c r="O316" s="796"/>
    </row>
    <row r="317" spans="3:15">
      <c r="C317" s="788">
        <f>IF(D275="","-",+C316+1)</f>
        <v>2049</v>
      </c>
      <c r="D317" s="736">
        <f t="shared" si="12"/>
        <v>0</v>
      </c>
      <c r="E317" s="789">
        <f t="shared" si="17"/>
        <v>0</v>
      </c>
      <c r="F317" s="736">
        <f t="shared" si="13"/>
        <v>0</v>
      </c>
      <c r="G317" s="794">
        <f t="shared" si="14"/>
        <v>0</v>
      </c>
      <c r="H317" s="795">
        <f t="shared" si="15"/>
        <v>0</v>
      </c>
      <c r="I317" s="792">
        <f t="shared" si="16"/>
        <v>0</v>
      </c>
      <c r="J317" s="792"/>
      <c r="K317" s="812"/>
      <c r="L317" s="796"/>
      <c r="M317" s="812"/>
      <c r="N317" s="796"/>
      <c r="O317" s="796"/>
    </row>
    <row r="318" spans="3:15">
      <c r="C318" s="788">
        <f>IF(D275="","-",+C317+1)</f>
        <v>2050</v>
      </c>
      <c r="D318" s="736">
        <f t="shared" si="12"/>
        <v>0</v>
      </c>
      <c r="E318" s="789">
        <f t="shared" si="17"/>
        <v>0</v>
      </c>
      <c r="F318" s="736">
        <f t="shared" si="13"/>
        <v>0</v>
      </c>
      <c r="G318" s="794">
        <f t="shared" si="14"/>
        <v>0</v>
      </c>
      <c r="H318" s="795">
        <f t="shared" si="15"/>
        <v>0</v>
      </c>
      <c r="I318" s="792">
        <f t="shared" si="16"/>
        <v>0</v>
      </c>
      <c r="J318" s="792"/>
      <c r="K318" s="812"/>
      <c r="L318" s="796"/>
      <c r="M318" s="812"/>
      <c r="N318" s="796"/>
      <c r="O318" s="796"/>
    </row>
    <row r="319" spans="3:15">
      <c r="C319" s="788">
        <f>IF(D275="","-",+C318+1)</f>
        <v>2051</v>
      </c>
      <c r="D319" s="736">
        <f t="shared" si="12"/>
        <v>0</v>
      </c>
      <c r="E319" s="789">
        <f t="shared" si="17"/>
        <v>0</v>
      </c>
      <c r="F319" s="736">
        <f t="shared" si="13"/>
        <v>0</v>
      </c>
      <c r="G319" s="794">
        <f t="shared" si="14"/>
        <v>0</v>
      </c>
      <c r="H319" s="795">
        <f t="shared" si="15"/>
        <v>0</v>
      </c>
      <c r="I319" s="792">
        <f t="shared" si="16"/>
        <v>0</v>
      </c>
      <c r="J319" s="792"/>
      <c r="K319" s="812"/>
      <c r="L319" s="796"/>
      <c r="M319" s="812"/>
      <c r="N319" s="796"/>
      <c r="O319" s="796"/>
    </row>
    <row r="320" spans="3:15">
      <c r="C320" s="788">
        <f>IF(D275="","-",+C319+1)</f>
        <v>2052</v>
      </c>
      <c r="D320" s="736">
        <f t="shared" si="12"/>
        <v>0</v>
      </c>
      <c r="E320" s="789">
        <f t="shared" si="17"/>
        <v>0</v>
      </c>
      <c r="F320" s="736">
        <f t="shared" si="13"/>
        <v>0</v>
      </c>
      <c r="G320" s="794">
        <f t="shared" si="14"/>
        <v>0</v>
      </c>
      <c r="H320" s="795">
        <f t="shared" si="15"/>
        <v>0</v>
      </c>
      <c r="I320" s="792">
        <f t="shared" si="16"/>
        <v>0</v>
      </c>
      <c r="J320" s="792"/>
      <c r="K320" s="812"/>
      <c r="L320" s="796"/>
      <c r="M320" s="812"/>
      <c r="N320" s="796"/>
      <c r="O320" s="796"/>
    </row>
    <row r="321" spans="3:15">
      <c r="C321" s="788">
        <f>IF(D275="","-",+C320+1)</f>
        <v>2053</v>
      </c>
      <c r="D321" s="736">
        <f t="shared" si="12"/>
        <v>0</v>
      </c>
      <c r="E321" s="789">
        <f t="shared" si="17"/>
        <v>0</v>
      </c>
      <c r="F321" s="736">
        <f t="shared" si="13"/>
        <v>0</v>
      </c>
      <c r="G321" s="794">
        <f t="shared" si="14"/>
        <v>0</v>
      </c>
      <c r="H321" s="795">
        <f t="shared" si="15"/>
        <v>0</v>
      </c>
      <c r="I321" s="792">
        <f t="shared" si="16"/>
        <v>0</v>
      </c>
      <c r="J321" s="792"/>
      <c r="K321" s="812"/>
      <c r="L321" s="796"/>
      <c r="M321" s="812"/>
      <c r="N321" s="796"/>
      <c r="O321" s="796"/>
    </row>
    <row r="322" spans="3:15">
      <c r="C322" s="788">
        <f>IF(D275="","-",+C321+1)</f>
        <v>2054</v>
      </c>
      <c r="D322" s="736">
        <f t="shared" si="12"/>
        <v>0</v>
      </c>
      <c r="E322" s="789">
        <f t="shared" si="17"/>
        <v>0</v>
      </c>
      <c r="F322" s="736">
        <f t="shared" si="13"/>
        <v>0</v>
      </c>
      <c r="G322" s="794">
        <f t="shared" si="14"/>
        <v>0</v>
      </c>
      <c r="H322" s="795">
        <f t="shared" si="15"/>
        <v>0</v>
      </c>
      <c r="I322" s="792">
        <f t="shared" si="16"/>
        <v>0</v>
      </c>
      <c r="J322" s="792"/>
      <c r="K322" s="812"/>
      <c r="L322" s="796"/>
      <c r="M322" s="812"/>
      <c r="N322" s="796"/>
      <c r="O322" s="796"/>
    </row>
    <row r="323" spans="3:15">
      <c r="C323" s="788">
        <f>IF(D275="","-",+C322+1)</f>
        <v>2055</v>
      </c>
      <c r="D323" s="736">
        <f t="shared" si="12"/>
        <v>0</v>
      </c>
      <c r="E323" s="789">
        <f t="shared" si="17"/>
        <v>0</v>
      </c>
      <c r="F323" s="736">
        <f t="shared" si="13"/>
        <v>0</v>
      </c>
      <c r="G323" s="794">
        <f t="shared" si="14"/>
        <v>0</v>
      </c>
      <c r="H323" s="795">
        <f t="shared" si="15"/>
        <v>0</v>
      </c>
      <c r="I323" s="792">
        <f t="shared" si="16"/>
        <v>0</v>
      </c>
      <c r="J323" s="792"/>
      <c r="K323" s="812"/>
      <c r="L323" s="796"/>
      <c r="M323" s="812"/>
      <c r="N323" s="796"/>
      <c r="O323" s="796"/>
    </row>
    <row r="324" spans="3:15">
      <c r="C324" s="788">
        <f>IF(D275="","-",+C323+1)</f>
        <v>2056</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2057</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2058</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2059</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2060</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2061</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2062</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2063</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2064</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2065</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2066</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2067</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2068</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2069</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2070</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2071</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2072</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83</v>
      </c>
      <c r="D341" s="730"/>
      <c r="E341" s="730">
        <f>SUM(E281:E340)</f>
        <v>8345675</v>
      </c>
      <c r="F341" s="730"/>
      <c r="G341" s="730">
        <f>SUM(G281:G340)</f>
        <v>30555843.901580304</v>
      </c>
      <c r="H341" s="730">
        <f>SUM(H281:H340)</f>
        <v>30555843.901580304</v>
      </c>
      <c r="I341" s="730">
        <f>SUM(I281:I340)</f>
        <v>0</v>
      </c>
      <c r="J341" s="730"/>
      <c r="K341" s="730"/>
      <c r="L341" s="730"/>
      <c r="M341" s="730"/>
      <c r="N341" s="730"/>
      <c r="O341" s="313"/>
    </row>
    <row r="342" spans="1:16">
      <c r="D342" s="538"/>
      <c r="E342" s="313"/>
      <c r="F342" s="313"/>
      <c r="G342" s="313"/>
      <c r="H342" s="708"/>
      <c r="I342" s="708"/>
      <c r="J342" s="730"/>
      <c r="K342" s="708"/>
      <c r="L342" s="708"/>
      <c r="M342" s="708"/>
      <c r="N342" s="708"/>
      <c r="O342" s="313"/>
    </row>
    <row r="343" spans="1:16">
      <c r="C343" s="313" t="s">
        <v>13</v>
      </c>
      <c r="D343" s="538"/>
      <c r="E343" s="313"/>
      <c r="F343" s="313"/>
      <c r="G343" s="313"/>
      <c r="H343" s="708"/>
      <c r="I343" s="708"/>
      <c r="J343" s="730"/>
      <c r="K343" s="708"/>
      <c r="L343" s="708"/>
      <c r="M343" s="708"/>
      <c r="N343" s="708"/>
      <c r="O343" s="313"/>
    </row>
    <row r="344" spans="1:16">
      <c r="C344" s="313"/>
      <c r="D344" s="538"/>
      <c r="E344" s="313"/>
      <c r="F344" s="313"/>
      <c r="G344" s="313"/>
      <c r="H344" s="708"/>
      <c r="I344" s="708"/>
      <c r="J344" s="730"/>
      <c r="K344" s="708"/>
      <c r="L344" s="708"/>
      <c r="M344" s="708"/>
      <c r="N344" s="708"/>
      <c r="O344" s="313"/>
    </row>
    <row r="345" spans="1:16">
      <c r="C345" s="749" t="s">
        <v>14</v>
      </c>
      <c r="D345" s="736"/>
      <c r="E345" s="736"/>
      <c r="F345" s="736"/>
      <c r="G345" s="730"/>
      <c r="H345" s="730"/>
      <c r="I345" s="804"/>
      <c r="J345" s="804"/>
      <c r="K345" s="804"/>
      <c r="L345" s="804"/>
      <c r="M345" s="804"/>
      <c r="N345" s="804"/>
      <c r="O345" s="313"/>
    </row>
    <row r="346" spans="1:16">
      <c r="C346" s="735" t="s">
        <v>263</v>
      </c>
      <c r="D346" s="736"/>
      <c r="E346" s="736"/>
      <c r="F346" s="736"/>
      <c r="G346" s="730"/>
      <c r="H346" s="730"/>
      <c r="I346" s="804"/>
      <c r="J346" s="804"/>
      <c r="K346" s="804"/>
      <c r="L346" s="804"/>
      <c r="M346" s="804"/>
      <c r="N346" s="804"/>
      <c r="O346" s="313"/>
    </row>
    <row r="347" spans="1:16">
      <c r="C347" s="735" t="s">
        <v>84</v>
      </c>
      <c r="D347" s="736"/>
      <c r="E347" s="736"/>
      <c r="F347" s="736"/>
      <c r="G347" s="730"/>
      <c r="H347" s="730"/>
      <c r="I347" s="804"/>
      <c r="J347" s="804"/>
      <c r="K347" s="804"/>
      <c r="L347" s="804"/>
      <c r="M347" s="804"/>
      <c r="N347" s="804"/>
      <c r="O347" s="313"/>
    </row>
    <row r="348" spans="1:16">
      <c r="C348" s="735"/>
      <c r="D348" s="736"/>
      <c r="E348" s="736"/>
      <c r="F348" s="736"/>
      <c r="G348" s="730"/>
      <c r="H348" s="730"/>
      <c r="I348" s="804"/>
      <c r="J348" s="804"/>
      <c r="K348" s="804"/>
      <c r="L348" s="804"/>
      <c r="M348" s="804"/>
      <c r="N348" s="804"/>
      <c r="O348" s="313"/>
    </row>
    <row r="349" spans="1:16">
      <c r="C349" s="1547" t="s">
        <v>6</v>
      </c>
      <c r="D349" s="1547"/>
      <c r="E349" s="1547"/>
      <c r="F349" s="1547"/>
      <c r="G349" s="1547"/>
      <c r="H349" s="1547"/>
      <c r="I349" s="1547"/>
      <c r="J349" s="1547"/>
      <c r="K349" s="1547"/>
      <c r="L349" s="1547"/>
      <c r="M349" s="1547"/>
      <c r="N349" s="1547"/>
      <c r="O349" s="1547"/>
    </row>
    <row r="350" spans="1:16">
      <c r="C350" s="1547"/>
      <c r="D350" s="1547"/>
      <c r="E350" s="1547"/>
      <c r="F350" s="1547"/>
      <c r="G350" s="1547"/>
      <c r="H350" s="1547"/>
      <c r="I350" s="1547"/>
      <c r="J350" s="1547"/>
      <c r="K350" s="1547"/>
      <c r="L350" s="1547"/>
      <c r="M350" s="1547"/>
      <c r="N350" s="1547"/>
      <c r="O350" s="1547"/>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7"/>
      <c r="C352" s="725"/>
      <c r="D352" s="538"/>
      <c r="E352" s="313"/>
      <c r="F352" s="707"/>
      <c r="G352" s="313"/>
      <c r="H352" s="708"/>
      <c r="K352" s="564"/>
      <c r="L352" s="564"/>
      <c r="M352" s="564"/>
      <c r="N352" s="653" t="str">
        <f>"Page "&amp;SUM(P$8:P352)&amp;" of "</f>
        <v xml:space="preserve">Page 5 of </v>
      </c>
      <c r="O352" s="654">
        <f>COUNT(P$8:P$56653)</f>
        <v>23</v>
      </c>
      <c r="P352" s="172">
        <v>1</v>
      </c>
    </row>
    <row r="353" spans="2:15">
      <c r="B353" s="347"/>
      <c r="C353" s="313"/>
      <c r="D353" s="538"/>
      <c r="E353" s="313"/>
      <c r="F353" s="313"/>
      <c r="G353" s="313"/>
      <c r="H353" s="708"/>
      <c r="I353" s="313"/>
      <c r="J353" s="426"/>
      <c r="K353" s="313"/>
      <c r="L353" s="313"/>
      <c r="M353" s="313"/>
      <c r="N353" s="313"/>
      <c r="O353" s="313"/>
    </row>
    <row r="354" spans="2:15" ht="18">
      <c r="B354" s="657" t="s">
        <v>466</v>
      </c>
      <c r="C354" s="739" t="s">
        <v>85</v>
      </c>
      <c r="D354" s="538"/>
      <c r="E354" s="313"/>
      <c r="F354" s="313"/>
      <c r="G354" s="313"/>
      <c r="H354" s="708"/>
      <c r="I354" s="708"/>
      <c r="J354" s="730"/>
      <c r="K354" s="708"/>
      <c r="L354" s="708"/>
      <c r="M354" s="708"/>
      <c r="N354" s="708"/>
      <c r="O354" s="313"/>
    </row>
    <row r="355" spans="2:15" ht="18.75">
      <c r="B355" s="657"/>
      <c r="C355" s="656"/>
      <c r="D355" s="538"/>
      <c r="E355" s="313"/>
      <c r="F355" s="313"/>
      <c r="G355" s="313"/>
      <c r="H355" s="708"/>
      <c r="I355" s="708"/>
      <c r="J355" s="730"/>
      <c r="K355" s="708"/>
      <c r="L355" s="708"/>
      <c r="M355" s="708"/>
      <c r="N355" s="708"/>
      <c r="O355" s="313"/>
    </row>
    <row r="356" spans="2:15" ht="18.75">
      <c r="B356" s="657"/>
      <c r="C356" s="656" t="s">
        <v>86</v>
      </c>
      <c r="D356" s="538"/>
      <c r="E356" s="313"/>
      <c r="F356" s="313"/>
      <c r="G356" s="313"/>
      <c r="H356" s="708"/>
      <c r="I356" s="708"/>
      <c r="J356" s="730"/>
      <c r="K356" s="708"/>
      <c r="L356" s="708"/>
      <c r="M356" s="708"/>
      <c r="N356" s="708"/>
      <c r="O356" s="313"/>
    </row>
    <row r="357" spans="2:15" ht="15.75" thickBot="1">
      <c r="C357" s="239"/>
      <c r="D357" s="538"/>
      <c r="E357" s="313"/>
      <c r="F357" s="313"/>
      <c r="G357" s="313"/>
      <c r="H357" s="708"/>
      <c r="I357" s="708"/>
      <c r="J357" s="730"/>
      <c r="K357" s="708"/>
      <c r="L357" s="708"/>
      <c r="M357" s="708"/>
      <c r="N357" s="708"/>
      <c r="O357" s="313"/>
    </row>
    <row r="358" spans="2:15" ht="15.75">
      <c r="C358" s="659" t="s">
        <v>87</v>
      </c>
      <c r="D358" s="538"/>
      <c r="E358" s="313"/>
      <c r="F358" s="313"/>
      <c r="G358" s="806"/>
      <c r="H358" s="313" t="s">
        <v>66</v>
      </c>
      <c r="I358" s="313"/>
      <c r="J358" s="426"/>
      <c r="K358" s="740" t="s">
        <v>91</v>
      </c>
      <c r="L358" s="741"/>
      <c r="M358" s="742"/>
      <c r="N358" s="743">
        <f>IF(I364=0,0,VLOOKUP(I364,C371:O430,5))</f>
        <v>576253.53746072343</v>
      </c>
      <c r="O358" s="313"/>
    </row>
    <row r="359" spans="2:15" ht="15.75">
      <c r="C359" s="659"/>
      <c r="D359" s="538"/>
      <c r="E359" s="313"/>
      <c r="F359" s="313"/>
      <c r="G359" s="313"/>
      <c r="H359" s="744"/>
      <c r="I359" s="744"/>
      <c r="J359" s="745"/>
      <c r="K359" s="746" t="s">
        <v>92</v>
      </c>
      <c r="L359" s="747"/>
      <c r="M359" s="426"/>
      <c r="N359" s="748">
        <f>IF(I364=0,0,VLOOKUP(I364,C371:O430,6))</f>
        <v>576253.53746072343</v>
      </c>
      <c r="O359" s="313"/>
    </row>
    <row r="360" spans="2:15" ht="13.5" customHeight="1" thickBot="1">
      <c r="C360" s="749" t="s">
        <v>88</v>
      </c>
      <c r="D360" s="1537" t="s">
        <v>811</v>
      </c>
      <c r="E360" s="1537"/>
      <c r="F360" s="1537"/>
      <c r="G360" s="1537"/>
      <c r="H360" s="1537"/>
      <c r="I360" s="1537"/>
      <c r="J360" s="730"/>
      <c r="K360" s="750" t="s">
        <v>230</v>
      </c>
      <c r="L360" s="751"/>
      <c r="M360" s="751"/>
      <c r="N360" s="752">
        <f>+N359-N358</f>
        <v>0</v>
      </c>
      <c r="O360" s="313"/>
    </row>
    <row r="361" spans="2:15">
      <c r="C361" s="753"/>
      <c r="D361" s="1537"/>
      <c r="E361" s="1537"/>
      <c r="F361" s="1537"/>
      <c r="G361" s="1537"/>
      <c r="H361" s="1537"/>
      <c r="I361" s="1537"/>
      <c r="J361" s="730"/>
      <c r="K361" s="708"/>
      <c r="L361" s="708"/>
      <c r="M361" s="708"/>
      <c r="N361" s="708"/>
      <c r="O361" s="313"/>
    </row>
    <row r="362" spans="2:15" ht="13.5" thickBot="1">
      <c r="C362" s="756"/>
      <c r="D362" s="757"/>
      <c r="E362" s="755"/>
      <c r="F362" s="755"/>
      <c r="G362" s="755"/>
      <c r="H362" s="755"/>
      <c r="I362" s="755"/>
      <c r="J362" s="758"/>
      <c r="K362" s="755"/>
      <c r="L362" s="755"/>
      <c r="M362" s="755"/>
      <c r="N362" s="755"/>
      <c r="O362" s="347"/>
    </row>
    <row r="363" spans="2:15" ht="13.5" thickBot="1">
      <c r="C363" s="759" t="s">
        <v>89</v>
      </c>
      <c r="D363" s="760"/>
      <c r="E363" s="760"/>
      <c r="F363" s="760"/>
      <c r="G363" s="760"/>
      <c r="H363" s="760"/>
      <c r="I363" s="761"/>
      <c r="J363" s="762"/>
      <c r="K363" s="313"/>
      <c r="L363" s="313"/>
      <c r="M363" s="313"/>
      <c r="N363" s="313"/>
      <c r="O363" s="763"/>
    </row>
    <row r="364" spans="2:15" ht="15">
      <c r="C364" s="764" t="s">
        <v>67</v>
      </c>
      <c r="D364" s="808">
        <v>4305129</v>
      </c>
      <c r="E364" s="725" t="s">
        <v>68</v>
      </c>
      <c r="G364" s="765"/>
      <c r="H364" s="765"/>
      <c r="I364" s="766">
        <f>$L$26</f>
        <v>2023</v>
      </c>
      <c r="J364" s="554"/>
      <c r="K364" s="1536" t="s">
        <v>239</v>
      </c>
      <c r="L364" s="1536"/>
      <c r="M364" s="1536"/>
      <c r="N364" s="1536"/>
      <c r="O364" s="1536"/>
    </row>
    <row r="365" spans="2:15">
      <c r="C365" s="764" t="s">
        <v>70</v>
      </c>
      <c r="D365" s="809">
        <v>2013</v>
      </c>
      <c r="E365" s="764" t="s">
        <v>71</v>
      </c>
      <c r="F365" s="765"/>
      <c r="H365" s="172"/>
      <c r="I365" s="810">
        <f>IF(G358="",0,$F$17)</f>
        <v>0</v>
      </c>
      <c r="J365" s="767"/>
      <c r="K365" s="730" t="s">
        <v>239</v>
      </c>
    </row>
    <row r="366" spans="2:15">
      <c r="C366" s="764" t="s">
        <v>72</v>
      </c>
      <c r="D366" s="808">
        <v>12</v>
      </c>
      <c r="E366" s="764" t="s">
        <v>73</v>
      </c>
      <c r="F366" s="765"/>
      <c r="H366" s="172"/>
      <c r="I366" s="768">
        <f>$G$70</f>
        <v>0.14450383244078713</v>
      </c>
      <c r="J366" s="769"/>
      <c r="K366" s="172" t="str">
        <f>"          INPUT PROJECTED ARR (WITH &amp; WITHOUT INCENTIVES) FROM EACH PRIOR YEAR"</f>
        <v xml:space="preserve">          INPUT PROJECTED ARR (WITH &amp; WITHOUT INCENTIVES) FROM EACH PRIOR YEAR</v>
      </c>
    </row>
    <row r="367" spans="2:15">
      <c r="C367" s="764" t="s">
        <v>74</v>
      </c>
      <c r="D367" s="770">
        <f>$G$79</f>
        <v>35</v>
      </c>
      <c r="E367" s="764" t="s">
        <v>75</v>
      </c>
      <c r="F367" s="765"/>
      <c r="H367" s="172"/>
      <c r="I367" s="768">
        <f>IF(G358="",I366,$G$69)</f>
        <v>0.14450383244078713</v>
      </c>
      <c r="J367" s="771"/>
      <c r="K367" s="172" t="s">
        <v>152</v>
      </c>
    </row>
    <row r="368" spans="2:15" ht="13.5" thickBot="1">
      <c r="C368" s="764" t="s">
        <v>76</v>
      </c>
      <c r="D368" s="807" t="s">
        <v>808</v>
      </c>
      <c r="E368" s="772" t="s">
        <v>77</v>
      </c>
      <c r="F368" s="773"/>
      <c r="G368" s="774"/>
      <c r="H368" s="774"/>
      <c r="I368" s="752">
        <f>IF(D364=0,0,D364/D367)</f>
        <v>123003.68571428572</v>
      </c>
      <c r="J368" s="730"/>
      <c r="K368" s="730" t="s">
        <v>158</v>
      </c>
      <c r="L368" s="730"/>
      <c r="M368" s="730"/>
      <c r="N368" s="730"/>
      <c r="O368" s="426"/>
    </row>
    <row r="369" spans="2:15" ht="38.25">
      <c r="B369" s="845"/>
      <c r="C369" s="775" t="s">
        <v>67</v>
      </c>
      <c r="D369" s="776" t="s">
        <v>78</v>
      </c>
      <c r="E369" s="777" t="s">
        <v>79</v>
      </c>
      <c r="F369" s="776" t="s">
        <v>80</v>
      </c>
      <c r="G369" s="777" t="s">
        <v>151</v>
      </c>
      <c r="H369" s="778" t="s">
        <v>151</v>
      </c>
      <c r="I369" s="775" t="s">
        <v>90</v>
      </c>
      <c r="J369" s="779"/>
      <c r="K369" s="777" t="s">
        <v>160</v>
      </c>
      <c r="L369" s="780"/>
      <c r="M369" s="777" t="s">
        <v>160</v>
      </c>
      <c r="N369" s="780"/>
      <c r="O369" s="780"/>
    </row>
    <row r="370" spans="2:15" ht="13.5" thickBot="1">
      <c r="C370" s="781" t="s">
        <v>469</v>
      </c>
      <c r="D370" s="782" t="s">
        <v>470</v>
      </c>
      <c r="E370" s="781" t="s">
        <v>363</v>
      </c>
      <c r="F370" s="782" t="s">
        <v>470</v>
      </c>
      <c r="G370" s="783" t="s">
        <v>93</v>
      </c>
      <c r="H370" s="784" t="s">
        <v>95</v>
      </c>
      <c r="I370" s="785" t="s">
        <v>15</v>
      </c>
      <c r="J370" s="786"/>
      <c r="K370" s="783" t="s">
        <v>82</v>
      </c>
      <c r="L370" s="787"/>
      <c r="M370" s="783" t="s">
        <v>95</v>
      </c>
      <c r="N370" s="787"/>
      <c r="O370" s="787"/>
    </row>
    <row r="371" spans="2:15">
      <c r="C371" s="788">
        <f>IF(D365= "","-",D365)</f>
        <v>2013</v>
      </c>
      <c r="D371" s="736">
        <f>+D364</f>
        <v>4305129</v>
      </c>
      <c r="E371" s="789">
        <f>+I368/12*(12-D366)</f>
        <v>0</v>
      </c>
      <c r="F371" s="736">
        <f>+D371-E371</f>
        <v>4305129</v>
      </c>
      <c r="G371" s="985">
        <f>+$I$96*((D371+F371)/2)+E371</f>
        <v>622107.6396519735</v>
      </c>
      <c r="H371" s="986">
        <f>$I$97*((D371+F371)/2)+E371</f>
        <v>622107.6396519735</v>
      </c>
      <c r="I371" s="792">
        <f>+H371-G371</f>
        <v>0</v>
      </c>
      <c r="J371" s="792"/>
      <c r="K371" s="811">
        <v>244284</v>
      </c>
      <c r="L371" s="793"/>
      <c r="M371" s="811">
        <v>244284</v>
      </c>
      <c r="N371" s="793"/>
      <c r="O371" s="793"/>
    </row>
    <row r="372" spans="2:15">
      <c r="C372" s="788">
        <f>IF(D365="","-",+C371+1)</f>
        <v>2014</v>
      </c>
      <c r="D372" s="736">
        <f t="shared" ref="D372:D430" si="18">F371</f>
        <v>4305129</v>
      </c>
      <c r="E372" s="789">
        <f>IF(D372&gt;$I$368,$I$368,D372)</f>
        <v>123003.68571428572</v>
      </c>
      <c r="F372" s="736">
        <f t="shared" ref="F372:F430" si="19">+D372-E372</f>
        <v>4182125.3142857142</v>
      </c>
      <c r="G372" s="794">
        <f t="shared" ref="G372:G430" si="20">+$I$96*((D372+F372)/2)+E372</f>
        <v>736224.07337123097</v>
      </c>
      <c r="H372" s="795">
        <f t="shared" ref="H372:H430" si="21">$I$97*((D372+F372)/2)+E372</f>
        <v>736224.07337123097</v>
      </c>
      <c r="I372" s="792">
        <f t="shared" ref="I372:I430" si="22">+H372-G372</f>
        <v>0</v>
      </c>
      <c r="J372" s="792"/>
      <c r="K372" s="812">
        <v>568269</v>
      </c>
      <c r="L372" s="796"/>
      <c r="M372" s="812">
        <v>568269</v>
      </c>
      <c r="N372" s="796"/>
      <c r="O372" s="796"/>
    </row>
    <row r="373" spans="2:15">
      <c r="C373" s="788">
        <f>IF(D365="","-",+C372+1)</f>
        <v>2015</v>
      </c>
      <c r="D373" s="736">
        <f t="shared" si="18"/>
        <v>4182125.3142857142</v>
      </c>
      <c r="E373" s="789">
        <f t="shared" ref="E373:E430" si="23">IF(D373&gt;$I$368,$I$368,D373)</f>
        <v>123003.68571428572</v>
      </c>
      <c r="F373" s="736">
        <f t="shared" si="19"/>
        <v>4059121.6285714284</v>
      </c>
      <c r="G373" s="794">
        <f t="shared" si="20"/>
        <v>718449.56938117452</v>
      </c>
      <c r="H373" s="795">
        <f t="shared" si="21"/>
        <v>718449.56938117452</v>
      </c>
      <c r="I373" s="792">
        <f t="shared" si="22"/>
        <v>0</v>
      </c>
      <c r="J373" s="792"/>
      <c r="K373" s="812">
        <v>554603</v>
      </c>
      <c r="L373" s="796"/>
      <c r="M373" s="812">
        <v>554603</v>
      </c>
      <c r="N373" s="796"/>
      <c r="O373" s="796"/>
    </row>
    <row r="374" spans="2:15">
      <c r="C374" s="788">
        <f>IF(D365="","-",+C373+1)</f>
        <v>2016</v>
      </c>
      <c r="D374" s="736">
        <f t="shared" si="18"/>
        <v>4059121.6285714284</v>
      </c>
      <c r="E374" s="789">
        <f t="shared" si="23"/>
        <v>123003.68571428572</v>
      </c>
      <c r="F374" s="736">
        <f t="shared" si="19"/>
        <v>3936117.9428571425</v>
      </c>
      <c r="G374" s="794">
        <f t="shared" si="20"/>
        <v>700675.06539111817</v>
      </c>
      <c r="H374" s="795">
        <f t="shared" si="21"/>
        <v>700675.06539111817</v>
      </c>
      <c r="I374" s="792">
        <f t="shared" si="22"/>
        <v>0</v>
      </c>
      <c r="J374" s="792"/>
      <c r="K374" s="812">
        <v>606319</v>
      </c>
      <c r="L374" s="796"/>
      <c r="M374" s="812">
        <v>606319</v>
      </c>
      <c r="N374" s="796"/>
      <c r="O374" s="796"/>
    </row>
    <row r="375" spans="2:15">
      <c r="C375" s="788">
        <f>IF(D365="","-",+C374+1)</f>
        <v>2017</v>
      </c>
      <c r="D375" s="736">
        <f t="shared" si="18"/>
        <v>3936117.9428571425</v>
      </c>
      <c r="E375" s="789">
        <f t="shared" si="23"/>
        <v>123003.68571428572</v>
      </c>
      <c r="F375" s="736">
        <f t="shared" si="19"/>
        <v>3813114.2571428567</v>
      </c>
      <c r="G375" s="794">
        <f t="shared" si="20"/>
        <v>682900.56140106171</v>
      </c>
      <c r="H375" s="795">
        <f t="shared" si="21"/>
        <v>682900.56140106171</v>
      </c>
      <c r="I375" s="792">
        <f t="shared" si="22"/>
        <v>0</v>
      </c>
      <c r="J375" s="792"/>
      <c r="K375" s="812">
        <v>725644</v>
      </c>
      <c r="L375" s="796"/>
      <c r="M375" s="812">
        <v>725644</v>
      </c>
      <c r="N375" s="796"/>
      <c r="O375" s="796"/>
    </row>
    <row r="376" spans="2:15">
      <c r="C376" s="1312">
        <f>IF(D365="","-",+C375+1)</f>
        <v>2018</v>
      </c>
      <c r="D376" s="736">
        <f t="shared" si="18"/>
        <v>3813114.2571428567</v>
      </c>
      <c r="E376" s="789">
        <f t="shared" si="23"/>
        <v>123003.68571428572</v>
      </c>
      <c r="F376" s="736">
        <f t="shared" si="19"/>
        <v>3690110.5714285709</v>
      </c>
      <c r="G376" s="794">
        <f t="shared" si="20"/>
        <v>665126.05741100537</v>
      </c>
      <c r="H376" s="795">
        <f t="shared" si="21"/>
        <v>665126.05741100537</v>
      </c>
      <c r="I376" s="792">
        <f t="shared" si="22"/>
        <v>0</v>
      </c>
      <c r="J376" s="792"/>
      <c r="K376" s="812">
        <v>644841</v>
      </c>
      <c r="L376" s="796"/>
      <c r="M376" s="812">
        <v>644841</v>
      </c>
      <c r="N376" s="796"/>
      <c r="O376" s="796"/>
    </row>
    <row r="377" spans="2:15">
      <c r="C377" s="1290">
        <f>IF(D365="","-",+C376+1)</f>
        <v>2019</v>
      </c>
      <c r="D377" s="736">
        <f t="shared" si="18"/>
        <v>3690110.5714285709</v>
      </c>
      <c r="E377" s="789">
        <f t="shared" si="23"/>
        <v>123003.68571428572</v>
      </c>
      <c r="F377" s="736">
        <f t="shared" si="19"/>
        <v>3567106.8857142851</v>
      </c>
      <c r="G377" s="794">
        <f t="shared" si="20"/>
        <v>647351.55342094891</v>
      </c>
      <c r="H377" s="795">
        <f t="shared" si="21"/>
        <v>647351.55342094891</v>
      </c>
      <c r="I377" s="792">
        <f t="shared" si="22"/>
        <v>0</v>
      </c>
      <c r="J377" s="792"/>
      <c r="K377" s="812"/>
      <c r="L377" s="796"/>
      <c r="M377" s="812"/>
      <c r="N377" s="796"/>
      <c r="O377" s="796"/>
    </row>
    <row r="378" spans="2:15">
      <c r="C378" s="788">
        <f>IF(D365="","-",+C377+1)</f>
        <v>2020</v>
      </c>
      <c r="D378" s="736">
        <f t="shared" si="18"/>
        <v>3567106.8857142851</v>
      </c>
      <c r="E378" s="789">
        <f t="shared" si="23"/>
        <v>123003.68571428572</v>
      </c>
      <c r="F378" s="736">
        <f t="shared" si="19"/>
        <v>3444103.1999999993</v>
      </c>
      <c r="G378" s="794">
        <f t="shared" si="20"/>
        <v>629577.04943089257</v>
      </c>
      <c r="H378" s="795">
        <f t="shared" si="21"/>
        <v>629577.04943089257</v>
      </c>
      <c r="I378" s="792">
        <f t="shared" si="22"/>
        <v>0</v>
      </c>
      <c r="J378" s="792"/>
      <c r="K378" s="812"/>
      <c r="L378" s="796"/>
      <c r="M378" s="812"/>
      <c r="N378" s="796"/>
      <c r="O378" s="796"/>
    </row>
    <row r="379" spans="2:15">
      <c r="C379" s="788">
        <f>IF(D365="","-",+C378+1)</f>
        <v>2021</v>
      </c>
      <c r="D379" s="736">
        <f t="shared" si="18"/>
        <v>3444103.1999999993</v>
      </c>
      <c r="E379" s="789">
        <f t="shared" si="23"/>
        <v>123003.68571428572</v>
      </c>
      <c r="F379" s="736">
        <f t="shared" si="19"/>
        <v>3321099.5142857134</v>
      </c>
      <c r="G379" s="794">
        <f t="shared" si="20"/>
        <v>611802.54544083623</v>
      </c>
      <c r="H379" s="795">
        <f t="shared" si="21"/>
        <v>611802.54544083623</v>
      </c>
      <c r="I379" s="792">
        <f t="shared" si="22"/>
        <v>0</v>
      </c>
      <c r="J379" s="792"/>
      <c r="K379" s="812"/>
      <c r="L379" s="796"/>
      <c r="M379" s="812"/>
      <c r="N379" s="796"/>
      <c r="O379" s="796"/>
    </row>
    <row r="380" spans="2:15">
      <c r="C380" s="788">
        <f>IF(D365="","-",+C379+1)</f>
        <v>2022</v>
      </c>
      <c r="D380" s="736">
        <f t="shared" si="18"/>
        <v>3321099.5142857134</v>
      </c>
      <c r="E380" s="789">
        <f t="shared" si="23"/>
        <v>123003.68571428572</v>
      </c>
      <c r="F380" s="736">
        <f t="shared" si="19"/>
        <v>3198095.8285714276</v>
      </c>
      <c r="G380" s="794">
        <f t="shared" si="20"/>
        <v>594028.04145077977</v>
      </c>
      <c r="H380" s="795">
        <f t="shared" si="21"/>
        <v>594028.04145077977</v>
      </c>
      <c r="I380" s="792">
        <f t="shared" si="22"/>
        <v>0</v>
      </c>
      <c r="J380" s="792"/>
      <c r="K380" s="812"/>
      <c r="L380" s="796"/>
      <c r="M380" s="812"/>
      <c r="N380" s="796"/>
      <c r="O380" s="796"/>
    </row>
    <row r="381" spans="2:15">
      <c r="C381" s="788">
        <f>IF(D365="","-",+C380+1)</f>
        <v>2023</v>
      </c>
      <c r="D381" s="736">
        <f t="shared" si="18"/>
        <v>3198095.8285714276</v>
      </c>
      <c r="E381" s="789">
        <f t="shared" si="23"/>
        <v>123003.68571428572</v>
      </c>
      <c r="F381" s="736">
        <f t="shared" si="19"/>
        <v>3075092.1428571418</v>
      </c>
      <c r="G381" s="794">
        <f t="shared" si="20"/>
        <v>576253.53746072343</v>
      </c>
      <c r="H381" s="795">
        <f t="shared" si="21"/>
        <v>576253.53746072343</v>
      </c>
      <c r="I381" s="792">
        <f t="shared" si="22"/>
        <v>0</v>
      </c>
      <c r="J381" s="792"/>
      <c r="K381" s="812"/>
      <c r="L381" s="796"/>
      <c r="M381" s="812"/>
      <c r="N381" s="796"/>
      <c r="O381" s="796"/>
    </row>
    <row r="382" spans="2:15">
      <c r="C382" s="788">
        <f>IF(D365="","-",+C381+1)</f>
        <v>2024</v>
      </c>
      <c r="D382" s="736">
        <f t="shared" si="18"/>
        <v>3075092.1428571418</v>
      </c>
      <c r="E382" s="789">
        <f t="shared" si="23"/>
        <v>123003.68571428572</v>
      </c>
      <c r="F382" s="736">
        <f t="shared" si="19"/>
        <v>2952088.457142856</v>
      </c>
      <c r="G382" s="794">
        <f t="shared" si="20"/>
        <v>558479.03347066697</v>
      </c>
      <c r="H382" s="795">
        <f t="shared" si="21"/>
        <v>558479.03347066697</v>
      </c>
      <c r="I382" s="792">
        <f t="shared" si="22"/>
        <v>0</v>
      </c>
      <c r="J382" s="792"/>
      <c r="K382" s="812"/>
      <c r="L382" s="796"/>
      <c r="M382" s="812"/>
      <c r="N382" s="796"/>
      <c r="O382" s="796"/>
    </row>
    <row r="383" spans="2:15">
      <c r="C383" s="788">
        <f>IF(D365="","-",+C382+1)</f>
        <v>2025</v>
      </c>
      <c r="D383" s="736">
        <f t="shared" si="18"/>
        <v>2952088.457142856</v>
      </c>
      <c r="E383" s="789">
        <f t="shared" si="23"/>
        <v>123003.68571428572</v>
      </c>
      <c r="F383" s="736">
        <f t="shared" si="19"/>
        <v>2829084.7714285702</v>
      </c>
      <c r="G383" s="794">
        <f t="shared" si="20"/>
        <v>540704.52948061062</v>
      </c>
      <c r="H383" s="795">
        <f t="shared" si="21"/>
        <v>540704.52948061062</v>
      </c>
      <c r="I383" s="792">
        <f t="shared" si="22"/>
        <v>0</v>
      </c>
      <c r="J383" s="792"/>
      <c r="K383" s="812"/>
      <c r="L383" s="796"/>
      <c r="M383" s="812"/>
      <c r="N383" s="797"/>
      <c r="O383" s="796"/>
    </row>
    <row r="384" spans="2:15">
      <c r="C384" s="788">
        <f>IF(D365="","-",+C383+1)</f>
        <v>2026</v>
      </c>
      <c r="D384" s="736">
        <f t="shared" si="18"/>
        <v>2829084.7714285702</v>
      </c>
      <c r="E384" s="789">
        <f t="shared" si="23"/>
        <v>123003.68571428572</v>
      </c>
      <c r="F384" s="736">
        <f t="shared" si="19"/>
        <v>2706081.0857142843</v>
      </c>
      <c r="G384" s="794">
        <f t="shared" si="20"/>
        <v>522930.02549055417</v>
      </c>
      <c r="H384" s="795">
        <f t="shared" si="21"/>
        <v>522930.02549055417</v>
      </c>
      <c r="I384" s="792">
        <f t="shared" si="22"/>
        <v>0</v>
      </c>
      <c r="J384" s="792"/>
      <c r="K384" s="812"/>
      <c r="L384" s="796"/>
      <c r="M384" s="812"/>
      <c r="N384" s="796"/>
      <c r="O384" s="796"/>
    </row>
    <row r="385" spans="3:15">
      <c r="C385" s="788">
        <f>IF(D365="","-",+C384+1)</f>
        <v>2027</v>
      </c>
      <c r="D385" s="736">
        <f t="shared" si="18"/>
        <v>2706081.0857142843</v>
      </c>
      <c r="E385" s="789">
        <f t="shared" si="23"/>
        <v>123003.68571428572</v>
      </c>
      <c r="F385" s="736">
        <f t="shared" si="19"/>
        <v>2583077.3999999985</v>
      </c>
      <c r="G385" s="794">
        <f t="shared" si="20"/>
        <v>505155.52150049777</v>
      </c>
      <c r="H385" s="795">
        <f t="shared" si="21"/>
        <v>505155.52150049777</v>
      </c>
      <c r="I385" s="792">
        <f t="shared" si="22"/>
        <v>0</v>
      </c>
      <c r="J385" s="792"/>
      <c r="K385" s="812"/>
      <c r="L385" s="796"/>
      <c r="M385" s="812"/>
      <c r="N385" s="796"/>
      <c r="O385" s="796"/>
    </row>
    <row r="386" spans="3:15">
      <c r="C386" s="788">
        <f>IF(D365="","-",+C385+1)</f>
        <v>2028</v>
      </c>
      <c r="D386" s="736">
        <f t="shared" si="18"/>
        <v>2583077.3999999985</v>
      </c>
      <c r="E386" s="789">
        <f t="shared" si="23"/>
        <v>123003.68571428572</v>
      </c>
      <c r="F386" s="736">
        <f t="shared" si="19"/>
        <v>2460073.7142857127</v>
      </c>
      <c r="G386" s="794">
        <f t="shared" si="20"/>
        <v>487381.01751044136</v>
      </c>
      <c r="H386" s="795">
        <f t="shared" si="21"/>
        <v>487381.01751044136</v>
      </c>
      <c r="I386" s="792">
        <f t="shared" si="22"/>
        <v>0</v>
      </c>
      <c r="J386" s="792"/>
      <c r="K386" s="812"/>
      <c r="L386" s="796"/>
      <c r="M386" s="812"/>
      <c r="N386" s="796"/>
      <c r="O386" s="796"/>
    </row>
    <row r="387" spans="3:15">
      <c r="C387" s="788">
        <f>IF(D365="","-",+C386+1)</f>
        <v>2029</v>
      </c>
      <c r="D387" s="736">
        <f t="shared" si="18"/>
        <v>2460073.7142857127</v>
      </c>
      <c r="E387" s="789">
        <f t="shared" si="23"/>
        <v>123003.68571428572</v>
      </c>
      <c r="F387" s="736">
        <f t="shared" si="19"/>
        <v>2337070.0285714269</v>
      </c>
      <c r="G387" s="794">
        <f t="shared" si="20"/>
        <v>469606.51352038496</v>
      </c>
      <c r="H387" s="795">
        <f t="shared" si="21"/>
        <v>469606.51352038496</v>
      </c>
      <c r="I387" s="792">
        <f t="shared" si="22"/>
        <v>0</v>
      </c>
      <c r="J387" s="792"/>
      <c r="K387" s="812"/>
      <c r="L387" s="796"/>
      <c r="M387" s="812"/>
      <c r="N387" s="796"/>
      <c r="O387" s="796"/>
    </row>
    <row r="388" spans="3:15">
      <c r="C388" s="788">
        <f>IF(D365="","-",+C387+1)</f>
        <v>2030</v>
      </c>
      <c r="D388" s="736">
        <f t="shared" si="18"/>
        <v>2337070.0285714269</v>
      </c>
      <c r="E388" s="789">
        <f t="shared" si="23"/>
        <v>123003.68571428572</v>
      </c>
      <c r="F388" s="736">
        <f t="shared" si="19"/>
        <v>2214066.342857141</v>
      </c>
      <c r="G388" s="794">
        <f t="shared" si="20"/>
        <v>451832.00953032856</v>
      </c>
      <c r="H388" s="795">
        <f t="shared" si="21"/>
        <v>451832.00953032856</v>
      </c>
      <c r="I388" s="792">
        <f t="shared" si="22"/>
        <v>0</v>
      </c>
      <c r="J388" s="792"/>
      <c r="K388" s="812"/>
      <c r="L388" s="796"/>
      <c r="M388" s="812"/>
      <c r="N388" s="796"/>
      <c r="O388" s="796"/>
    </row>
    <row r="389" spans="3:15">
      <c r="C389" s="788">
        <f>IF(D365="","-",+C388+1)</f>
        <v>2031</v>
      </c>
      <c r="D389" s="736">
        <f t="shared" si="18"/>
        <v>2214066.342857141</v>
      </c>
      <c r="E389" s="789">
        <f t="shared" si="23"/>
        <v>123003.68571428572</v>
      </c>
      <c r="F389" s="736">
        <f t="shared" si="19"/>
        <v>2091062.6571428552</v>
      </c>
      <c r="G389" s="794">
        <f t="shared" si="20"/>
        <v>434057.50554027216</v>
      </c>
      <c r="H389" s="795">
        <f t="shared" si="21"/>
        <v>434057.50554027216</v>
      </c>
      <c r="I389" s="792">
        <f t="shared" si="22"/>
        <v>0</v>
      </c>
      <c r="J389" s="792"/>
      <c r="K389" s="812"/>
      <c r="L389" s="796"/>
      <c r="M389" s="812"/>
      <c r="N389" s="796"/>
      <c r="O389" s="796"/>
    </row>
    <row r="390" spans="3:15">
      <c r="C390" s="788">
        <f>IF(D365="","-",+C389+1)</f>
        <v>2032</v>
      </c>
      <c r="D390" s="736">
        <f t="shared" si="18"/>
        <v>2091062.6571428552</v>
      </c>
      <c r="E390" s="789">
        <f t="shared" si="23"/>
        <v>123003.68571428572</v>
      </c>
      <c r="F390" s="736">
        <f t="shared" si="19"/>
        <v>1968058.9714285694</v>
      </c>
      <c r="G390" s="794">
        <f t="shared" si="20"/>
        <v>416283.00155021576</v>
      </c>
      <c r="H390" s="795">
        <f t="shared" si="21"/>
        <v>416283.00155021576</v>
      </c>
      <c r="I390" s="792">
        <f t="shared" si="22"/>
        <v>0</v>
      </c>
      <c r="J390" s="792"/>
      <c r="K390" s="812"/>
      <c r="L390" s="796"/>
      <c r="M390" s="812"/>
      <c r="N390" s="796"/>
      <c r="O390" s="796"/>
    </row>
    <row r="391" spans="3:15">
      <c r="C391" s="788">
        <f>IF(D365="","-",+C390+1)</f>
        <v>2033</v>
      </c>
      <c r="D391" s="736">
        <f t="shared" si="18"/>
        <v>1968058.9714285694</v>
      </c>
      <c r="E391" s="789">
        <f t="shared" si="23"/>
        <v>123003.68571428572</v>
      </c>
      <c r="F391" s="736">
        <f t="shared" si="19"/>
        <v>1845055.2857142836</v>
      </c>
      <c r="G391" s="794">
        <f t="shared" si="20"/>
        <v>398508.49756015936</v>
      </c>
      <c r="H391" s="795">
        <f t="shared" si="21"/>
        <v>398508.49756015936</v>
      </c>
      <c r="I391" s="792">
        <f t="shared" si="22"/>
        <v>0</v>
      </c>
      <c r="J391" s="792"/>
      <c r="K391" s="812"/>
      <c r="L391" s="796"/>
      <c r="M391" s="812"/>
      <c r="N391" s="796"/>
      <c r="O391" s="796"/>
    </row>
    <row r="392" spans="3:15">
      <c r="C392" s="788">
        <f>IF(D365="","-",+C391+1)</f>
        <v>2034</v>
      </c>
      <c r="D392" s="736">
        <f t="shared" si="18"/>
        <v>1845055.2857142836</v>
      </c>
      <c r="E392" s="789">
        <f t="shared" si="23"/>
        <v>123003.68571428572</v>
      </c>
      <c r="F392" s="736">
        <f t="shared" si="19"/>
        <v>1722051.5999999978</v>
      </c>
      <c r="G392" s="794">
        <f t="shared" si="20"/>
        <v>380733.99357010296</v>
      </c>
      <c r="H392" s="795">
        <f t="shared" si="21"/>
        <v>380733.99357010296</v>
      </c>
      <c r="I392" s="792">
        <f t="shared" si="22"/>
        <v>0</v>
      </c>
      <c r="J392" s="792"/>
      <c r="K392" s="812"/>
      <c r="L392" s="796"/>
      <c r="M392" s="812"/>
      <c r="N392" s="796"/>
      <c r="O392" s="796"/>
    </row>
    <row r="393" spans="3:15">
      <c r="C393" s="788">
        <f>IF(D365="","-",+C392+1)</f>
        <v>2035</v>
      </c>
      <c r="D393" s="736">
        <f t="shared" si="18"/>
        <v>1722051.5999999978</v>
      </c>
      <c r="E393" s="789">
        <f t="shared" si="23"/>
        <v>123003.68571428572</v>
      </c>
      <c r="F393" s="736">
        <f t="shared" si="19"/>
        <v>1599047.9142857119</v>
      </c>
      <c r="G393" s="794">
        <f t="shared" si="20"/>
        <v>362959.48958004656</v>
      </c>
      <c r="H393" s="795">
        <f t="shared" si="21"/>
        <v>362959.48958004656</v>
      </c>
      <c r="I393" s="792">
        <f t="shared" si="22"/>
        <v>0</v>
      </c>
      <c r="J393" s="792"/>
      <c r="K393" s="812"/>
      <c r="L393" s="796"/>
      <c r="M393" s="812"/>
      <c r="N393" s="796"/>
      <c r="O393" s="796"/>
    </row>
    <row r="394" spans="3:15">
      <c r="C394" s="788">
        <f>IF(D365="","-",+C393+1)</f>
        <v>2036</v>
      </c>
      <c r="D394" s="736">
        <f t="shared" si="18"/>
        <v>1599047.9142857119</v>
      </c>
      <c r="E394" s="789">
        <f t="shared" si="23"/>
        <v>123003.68571428572</v>
      </c>
      <c r="F394" s="736">
        <f t="shared" si="19"/>
        <v>1476044.2285714261</v>
      </c>
      <c r="G394" s="794">
        <f t="shared" si="20"/>
        <v>345184.98558999016</v>
      </c>
      <c r="H394" s="795">
        <f t="shared" si="21"/>
        <v>345184.98558999016</v>
      </c>
      <c r="I394" s="792">
        <f t="shared" si="22"/>
        <v>0</v>
      </c>
      <c r="J394" s="792"/>
      <c r="K394" s="812"/>
      <c r="L394" s="796"/>
      <c r="M394" s="812"/>
      <c r="N394" s="796"/>
      <c r="O394" s="796"/>
    </row>
    <row r="395" spans="3:15">
      <c r="C395" s="788">
        <f>IF(D365="","-",+C394+1)</f>
        <v>2037</v>
      </c>
      <c r="D395" s="736">
        <f t="shared" si="18"/>
        <v>1476044.2285714261</v>
      </c>
      <c r="E395" s="789">
        <f t="shared" si="23"/>
        <v>123003.68571428572</v>
      </c>
      <c r="F395" s="736">
        <f t="shared" si="19"/>
        <v>1353040.5428571403</v>
      </c>
      <c r="G395" s="794">
        <f t="shared" si="20"/>
        <v>327410.48159993376</v>
      </c>
      <c r="H395" s="795">
        <f t="shared" si="21"/>
        <v>327410.48159993376</v>
      </c>
      <c r="I395" s="792">
        <f t="shared" si="22"/>
        <v>0</v>
      </c>
      <c r="J395" s="792"/>
      <c r="K395" s="812"/>
      <c r="L395" s="796"/>
      <c r="M395" s="812"/>
      <c r="N395" s="796"/>
      <c r="O395" s="796"/>
    </row>
    <row r="396" spans="3:15">
      <c r="C396" s="788">
        <f>IF(D365="","-",+C395+1)</f>
        <v>2038</v>
      </c>
      <c r="D396" s="736">
        <f t="shared" si="18"/>
        <v>1353040.5428571403</v>
      </c>
      <c r="E396" s="789">
        <f t="shared" si="23"/>
        <v>123003.68571428572</v>
      </c>
      <c r="F396" s="736">
        <f t="shared" si="19"/>
        <v>1230036.8571428545</v>
      </c>
      <c r="G396" s="794">
        <f t="shared" si="20"/>
        <v>309635.97760987736</v>
      </c>
      <c r="H396" s="795">
        <f t="shared" si="21"/>
        <v>309635.97760987736</v>
      </c>
      <c r="I396" s="792">
        <f t="shared" si="22"/>
        <v>0</v>
      </c>
      <c r="J396" s="792"/>
      <c r="K396" s="812"/>
      <c r="L396" s="796"/>
      <c r="M396" s="812"/>
      <c r="N396" s="796"/>
      <c r="O396" s="796"/>
    </row>
    <row r="397" spans="3:15">
      <c r="C397" s="788">
        <f>IF(D365="","-",+C396+1)</f>
        <v>2039</v>
      </c>
      <c r="D397" s="736">
        <f t="shared" si="18"/>
        <v>1230036.8571428545</v>
      </c>
      <c r="E397" s="789">
        <f t="shared" si="23"/>
        <v>123003.68571428572</v>
      </c>
      <c r="F397" s="736">
        <f t="shared" si="19"/>
        <v>1107033.1714285687</v>
      </c>
      <c r="G397" s="794">
        <f t="shared" si="20"/>
        <v>291861.47361982096</v>
      </c>
      <c r="H397" s="795">
        <f t="shared" si="21"/>
        <v>291861.47361982096</v>
      </c>
      <c r="I397" s="792">
        <f t="shared" si="22"/>
        <v>0</v>
      </c>
      <c r="J397" s="792"/>
      <c r="K397" s="812"/>
      <c r="L397" s="796"/>
      <c r="M397" s="812"/>
      <c r="N397" s="796"/>
      <c r="O397" s="796"/>
    </row>
    <row r="398" spans="3:15">
      <c r="C398" s="788">
        <f>IF(D365="","-",+C397+1)</f>
        <v>2040</v>
      </c>
      <c r="D398" s="736">
        <f t="shared" si="18"/>
        <v>1107033.1714285687</v>
      </c>
      <c r="E398" s="789">
        <f t="shared" si="23"/>
        <v>123003.68571428572</v>
      </c>
      <c r="F398" s="736">
        <f t="shared" si="19"/>
        <v>984029.48571428296</v>
      </c>
      <c r="G398" s="794">
        <f t="shared" si="20"/>
        <v>274086.96962976456</v>
      </c>
      <c r="H398" s="795">
        <f t="shared" si="21"/>
        <v>274086.96962976456</v>
      </c>
      <c r="I398" s="792">
        <f t="shared" si="22"/>
        <v>0</v>
      </c>
      <c r="J398" s="792"/>
      <c r="K398" s="812"/>
      <c r="L398" s="796"/>
      <c r="M398" s="812"/>
      <c r="N398" s="796"/>
      <c r="O398" s="796"/>
    </row>
    <row r="399" spans="3:15">
      <c r="C399" s="788">
        <f>IF(D365="","-",+C398+1)</f>
        <v>2041</v>
      </c>
      <c r="D399" s="736">
        <f t="shared" si="18"/>
        <v>984029.48571428296</v>
      </c>
      <c r="E399" s="789">
        <f t="shared" si="23"/>
        <v>123003.68571428572</v>
      </c>
      <c r="F399" s="736">
        <f t="shared" si="19"/>
        <v>861025.79999999725</v>
      </c>
      <c r="G399" s="790">
        <f t="shared" si="20"/>
        <v>256312.46563970821</v>
      </c>
      <c r="H399" s="795">
        <f t="shared" si="21"/>
        <v>256312.46563970821</v>
      </c>
      <c r="I399" s="792">
        <f t="shared" si="22"/>
        <v>0</v>
      </c>
      <c r="J399" s="792"/>
      <c r="K399" s="812"/>
      <c r="L399" s="796"/>
      <c r="M399" s="812"/>
      <c r="N399" s="796"/>
      <c r="O399" s="796"/>
    </row>
    <row r="400" spans="3:15">
      <c r="C400" s="788">
        <f>IF(D365="","-",+C399+1)</f>
        <v>2042</v>
      </c>
      <c r="D400" s="736">
        <f t="shared" si="18"/>
        <v>861025.79999999725</v>
      </c>
      <c r="E400" s="789">
        <f t="shared" si="23"/>
        <v>123003.68571428572</v>
      </c>
      <c r="F400" s="736">
        <f t="shared" si="19"/>
        <v>738022.11428571155</v>
      </c>
      <c r="G400" s="794">
        <f t="shared" si="20"/>
        <v>238537.96164965181</v>
      </c>
      <c r="H400" s="795">
        <f t="shared" si="21"/>
        <v>238537.96164965181</v>
      </c>
      <c r="I400" s="792">
        <f t="shared" si="22"/>
        <v>0</v>
      </c>
      <c r="J400" s="792"/>
      <c r="K400" s="812"/>
      <c r="L400" s="796"/>
      <c r="M400" s="812"/>
      <c r="N400" s="796"/>
      <c r="O400" s="796"/>
    </row>
    <row r="401" spans="3:15">
      <c r="C401" s="788">
        <f>IF(D365="","-",+C400+1)</f>
        <v>2043</v>
      </c>
      <c r="D401" s="736">
        <f t="shared" si="18"/>
        <v>738022.11428571155</v>
      </c>
      <c r="E401" s="789">
        <f t="shared" si="23"/>
        <v>123003.68571428572</v>
      </c>
      <c r="F401" s="736">
        <f t="shared" si="19"/>
        <v>615018.42857142584</v>
      </c>
      <c r="G401" s="794">
        <f t="shared" si="20"/>
        <v>220763.45765959544</v>
      </c>
      <c r="H401" s="795">
        <f t="shared" si="21"/>
        <v>220763.45765959544</v>
      </c>
      <c r="I401" s="792">
        <f t="shared" si="22"/>
        <v>0</v>
      </c>
      <c r="J401" s="792"/>
      <c r="K401" s="812"/>
      <c r="L401" s="796"/>
      <c r="M401" s="812"/>
      <c r="N401" s="796"/>
      <c r="O401" s="796"/>
    </row>
    <row r="402" spans="3:15">
      <c r="C402" s="788">
        <f>IF(D365="","-",+C401+1)</f>
        <v>2044</v>
      </c>
      <c r="D402" s="736">
        <f t="shared" si="18"/>
        <v>615018.42857142584</v>
      </c>
      <c r="E402" s="789">
        <f t="shared" si="23"/>
        <v>123003.68571428572</v>
      </c>
      <c r="F402" s="736">
        <f t="shared" si="19"/>
        <v>492014.74285714014</v>
      </c>
      <c r="G402" s="794">
        <f t="shared" si="20"/>
        <v>202988.95366953904</v>
      </c>
      <c r="H402" s="795">
        <f t="shared" si="21"/>
        <v>202988.95366953904</v>
      </c>
      <c r="I402" s="792">
        <f t="shared" si="22"/>
        <v>0</v>
      </c>
      <c r="J402" s="792"/>
      <c r="K402" s="812"/>
      <c r="L402" s="796"/>
      <c r="M402" s="812"/>
      <c r="N402" s="796"/>
      <c r="O402" s="796"/>
    </row>
    <row r="403" spans="3:15">
      <c r="C403" s="788">
        <f>IF(D365="","-",+C402+1)</f>
        <v>2045</v>
      </c>
      <c r="D403" s="736">
        <f t="shared" si="18"/>
        <v>492014.74285714014</v>
      </c>
      <c r="E403" s="789">
        <f t="shared" si="23"/>
        <v>123003.68571428572</v>
      </c>
      <c r="F403" s="736">
        <f t="shared" si="19"/>
        <v>369011.05714285444</v>
      </c>
      <c r="G403" s="794">
        <f t="shared" si="20"/>
        <v>185214.44967948267</v>
      </c>
      <c r="H403" s="795">
        <f t="shared" si="21"/>
        <v>185214.44967948267</v>
      </c>
      <c r="I403" s="792">
        <f t="shared" si="22"/>
        <v>0</v>
      </c>
      <c r="J403" s="792"/>
      <c r="K403" s="812"/>
      <c r="L403" s="796"/>
      <c r="M403" s="812"/>
      <c r="N403" s="796"/>
      <c r="O403" s="796"/>
    </row>
    <row r="404" spans="3:15">
      <c r="C404" s="788">
        <f>IF(D365="","-",+C403+1)</f>
        <v>2046</v>
      </c>
      <c r="D404" s="736">
        <f t="shared" si="18"/>
        <v>369011.05714285444</v>
      </c>
      <c r="E404" s="789">
        <f t="shared" si="23"/>
        <v>123003.68571428572</v>
      </c>
      <c r="F404" s="736">
        <f t="shared" si="19"/>
        <v>246007.37142856873</v>
      </c>
      <c r="G404" s="794">
        <f t="shared" si="20"/>
        <v>167439.9456894263</v>
      </c>
      <c r="H404" s="795">
        <f t="shared" si="21"/>
        <v>167439.9456894263</v>
      </c>
      <c r="I404" s="792">
        <f t="shared" si="22"/>
        <v>0</v>
      </c>
      <c r="J404" s="792"/>
      <c r="K404" s="812"/>
      <c r="L404" s="796"/>
      <c r="M404" s="812"/>
      <c r="N404" s="796"/>
      <c r="O404" s="796"/>
    </row>
    <row r="405" spans="3:15">
      <c r="C405" s="788">
        <f>IF(D365="","-",+C404+1)</f>
        <v>2047</v>
      </c>
      <c r="D405" s="736">
        <f t="shared" si="18"/>
        <v>246007.37142856873</v>
      </c>
      <c r="E405" s="789">
        <f t="shared" si="23"/>
        <v>123003.68571428572</v>
      </c>
      <c r="F405" s="736">
        <f t="shared" si="19"/>
        <v>123003.68571428301</v>
      </c>
      <c r="G405" s="794">
        <f t="shared" si="20"/>
        <v>149665.4416993699</v>
      </c>
      <c r="H405" s="795">
        <f t="shared" si="21"/>
        <v>149665.4416993699</v>
      </c>
      <c r="I405" s="792">
        <f t="shared" si="22"/>
        <v>0</v>
      </c>
      <c r="J405" s="792"/>
      <c r="K405" s="812"/>
      <c r="L405" s="796"/>
      <c r="M405" s="812"/>
      <c r="N405" s="796"/>
      <c r="O405" s="796"/>
    </row>
    <row r="406" spans="3:15">
      <c r="C406" s="788">
        <f>IF(D365="","-",+C405+1)</f>
        <v>2048</v>
      </c>
      <c r="D406" s="736">
        <f t="shared" si="18"/>
        <v>123003.68571428301</v>
      </c>
      <c r="E406" s="789">
        <f t="shared" si="23"/>
        <v>123003.68571428301</v>
      </c>
      <c r="F406" s="736">
        <f t="shared" si="19"/>
        <v>0</v>
      </c>
      <c r="G406" s="794">
        <f t="shared" si="20"/>
        <v>131890.93770931102</v>
      </c>
      <c r="H406" s="795">
        <f t="shared" si="21"/>
        <v>131890.93770931102</v>
      </c>
      <c r="I406" s="792">
        <f t="shared" si="22"/>
        <v>0</v>
      </c>
      <c r="J406" s="792"/>
      <c r="K406" s="812"/>
      <c r="L406" s="796"/>
      <c r="M406" s="812"/>
      <c r="N406" s="796"/>
      <c r="O406" s="796"/>
    </row>
    <row r="407" spans="3:15">
      <c r="C407" s="788">
        <f>IF(D365="","-",+C406+1)</f>
        <v>2049</v>
      </c>
      <c r="D407" s="736">
        <f t="shared" si="18"/>
        <v>0</v>
      </c>
      <c r="E407" s="789">
        <f t="shared" si="23"/>
        <v>0</v>
      </c>
      <c r="F407" s="736">
        <f t="shared" si="19"/>
        <v>0</v>
      </c>
      <c r="G407" s="794">
        <f t="shared" si="20"/>
        <v>0</v>
      </c>
      <c r="H407" s="795">
        <f t="shared" si="21"/>
        <v>0</v>
      </c>
      <c r="I407" s="792">
        <f t="shared" si="22"/>
        <v>0</v>
      </c>
      <c r="J407" s="792"/>
      <c r="K407" s="812"/>
      <c r="L407" s="796"/>
      <c r="M407" s="812"/>
      <c r="N407" s="796"/>
      <c r="O407" s="796"/>
    </row>
    <row r="408" spans="3:15">
      <c r="C408" s="788">
        <f>IF(D365="","-",+C407+1)</f>
        <v>2050</v>
      </c>
      <c r="D408" s="736">
        <f t="shared" si="18"/>
        <v>0</v>
      </c>
      <c r="E408" s="789">
        <f t="shared" si="23"/>
        <v>0</v>
      </c>
      <c r="F408" s="736">
        <f t="shared" si="19"/>
        <v>0</v>
      </c>
      <c r="G408" s="794">
        <f t="shared" si="20"/>
        <v>0</v>
      </c>
      <c r="H408" s="795">
        <f t="shared" si="21"/>
        <v>0</v>
      </c>
      <c r="I408" s="792">
        <f t="shared" si="22"/>
        <v>0</v>
      </c>
      <c r="J408" s="792"/>
      <c r="K408" s="812"/>
      <c r="L408" s="796"/>
      <c r="M408" s="812"/>
      <c r="N408" s="796"/>
      <c r="O408" s="796"/>
    </row>
    <row r="409" spans="3:15">
      <c r="C409" s="788">
        <f>IF(D365="","-",+C408+1)</f>
        <v>2051</v>
      </c>
      <c r="D409" s="736">
        <f t="shared" si="18"/>
        <v>0</v>
      </c>
      <c r="E409" s="789">
        <f t="shared" si="23"/>
        <v>0</v>
      </c>
      <c r="F409" s="736">
        <f t="shared" si="19"/>
        <v>0</v>
      </c>
      <c r="G409" s="794">
        <f t="shared" si="20"/>
        <v>0</v>
      </c>
      <c r="H409" s="795">
        <f t="shared" si="21"/>
        <v>0</v>
      </c>
      <c r="I409" s="792">
        <f t="shared" si="22"/>
        <v>0</v>
      </c>
      <c r="J409" s="792"/>
      <c r="K409" s="812"/>
      <c r="L409" s="796"/>
      <c r="M409" s="812"/>
      <c r="N409" s="796"/>
      <c r="O409" s="796"/>
    </row>
    <row r="410" spans="3:15">
      <c r="C410" s="788">
        <f>IF(D365="","-",+C409+1)</f>
        <v>2052</v>
      </c>
      <c r="D410" s="736">
        <f t="shared" si="18"/>
        <v>0</v>
      </c>
      <c r="E410" s="789">
        <f t="shared" si="23"/>
        <v>0</v>
      </c>
      <c r="F410" s="736">
        <f t="shared" si="19"/>
        <v>0</v>
      </c>
      <c r="G410" s="794">
        <f t="shared" si="20"/>
        <v>0</v>
      </c>
      <c r="H410" s="795">
        <f t="shared" si="21"/>
        <v>0</v>
      </c>
      <c r="I410" s="792">
        <f t="shared" si="22"/>
        <v>0</v>
      </c>
      <c r="J410" s="792"/>
      <c r="K410" s="812"/>
      <c r="L410" s="796"/>
      <c r="M410" s="812"/>
      <c r="N410" s="796"/>
      <c r="O410" s="796"/>
    </row>
    <row r="411" spans="3:15">
      <c r="C411" s="788">
        <f>IF(D365="","-",+C410+1)</f>
        <v>2053</v>
      </c>
      <c r="D411" s="736">
        <f t="shared" si="18"/>
        <v>0</v>
      </c>
      <c r="E411" s="789">
        <f t="shared" si="23"/>
        <v>0</v>
      </c>
      <c r="F411" s="736">
        <f t="shared" si="19"/>
        <v>0</v>
      </c>
      <c r="G411" s="794">
        <f t="shared" si="20"/>
        <v>0</v>
      </c>
      <c r="H411" s="795">
        <f t="shared" si="21"/>
        <v>0</v>
      </c>
      <c r="I411" s="792">
        <f t="shared" si="22"/>
        <v>0</v>
      </c>
      <c r="J411" s="792"/>
      <c r="K411" s="812"/>
      <c r="L411" s="796"/>
      <c r="M411" s="812"/>
      <c r="N411" s="796"/>
      <c r="O411" s="796"/>
    </row>
    <row r="412" spans="3:15">
      <c r="C412" s="788">
        <f>IF(D365="","-",+C411+1)</f>
        <v>2054</v>
      </c>
      <c r="D412" s="736">
        <f t="shared" si="18"/>
        <v>0</v>
      </c>
      <c r="E412" s="789">
        <f t="shared" si="23"/>
        <v>0</v>
      </c>
      <c r="F412" s="736">
        <f t="shared" si="19"/>
        <v>0</v>
      </c>
      <c r="G412" s="794">
        <f t="shared" si="20"/>
        <v>0</v>
      </c>
      <c r="H412" s="795">
        <f t="shared" si="21"/>
        <v>0</v>
      </c>
      <c r="I412" s="792">
        <f t="shared" si="22"/>
        <v>0</v>
      </c>
      <c r="J412" s="792"/>
      <c r="K412" s="812"/>
      <c r="L412" s="796"/>
      <c r="M412" s="812"/>
      <c r="N412" s="796"/>
      <c r="O412" s="796"/>
    </row>
    <row r="413" spans="3:15">
      <c r="C413" s="788">
        <f>IF(D365="","-",+C412+1)</f>
        <v>2055</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2056</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2057</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2058</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2059</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2060</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2061</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2062</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2063</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2064</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2065</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2066</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2067</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2068</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2069</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2070</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2071</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2072</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83</v>
      </c>
      <c r="D431" s="730"/>
      <c r="E431" s="730">
        <f>SUM(E371:E430)</f>
        <v>4305129</v>
      </c>
      <c r="F431" s="730"/>
      <c r="G431" s="730">
        <f>SUM(G371:G430)</f>
        <v>15814120.333561499</v>
      </c>
      <c r="H431" s="730">
        <f>SUM(H371:H430)</f>
        <v>15814120.333561499</v>
      </c>
      <c r="I431" s="730">
        <f>SUM(I371:I430)</f>
        <v>0</v>
      </c>
      <c r="J431" s="730"/>
      <c r="K431" s="730"/>
      <c r="L431" s="730"/>
      <c r="M431" s="730"/>
      <c r="N431" s="730"/>
      <c r="O431" s="313"/>
    </row>
    <row r="432" spans="3:15">
      <c r="D432" s="538"/>
      <c r="E432" s="313"/>
      <c r="F432" s="313"/>
      <c r="G432" s="313"/>
      <c r="H432" s="708"/>
      <c r="I432" s="708"/>
      <c r="J432" s="730"/>
      <c r="K432" s="708"/>
      <c r="L432" s="708"/>
      <c r="M432" s="708"/>
      <c r="N432" s="708"/>
      <c r="O432" s="313"/>
    </row>
    <row r="433" spans="1:16">
      <c r="C433" s="313" t="s">
        <v>13</v>
      </c>
      <c r="D433" s="538"/>
      <c r="E433" s="313"/>
      <c r="F433" s="313"/>
      <c r="G433" s="313"/>
      <c r="H433" s="708"/>
      <c r="I433" s="708"/>
      <c r="J433" s="730"/>
      <c r="K433" s="708"/>
      <c r="L433" s="708"/>
      <c r="M433" s="708"/>
      <c r="N433" s="708"/>
      <c r="O433" s="313"/>
    </row>
    <row r="434" spans="1:16">
      <c r="C434" s="313"/>
      <c r="D434" s="538"/>
      <c r="E434" s="313"/>
      <c r="F434" s="313"/>
      <c r="G434" s="313"/>
      <c r="H434" s="708"/>
      <c r="I434" s="708"/>
      <c r="J434" s="730"/>
      <c r="K434" s="708"/>
      <c r="L434" s="708"/>
      <c r="M434" s="708"/>
      <c r="N434" s="708"/>
      <c r="O434" s="313"/>
    </row>
    <row r="435" spans="1:16">
      <c r="C435" s="749" t="s">
        <v>14</v>
      </c>
      <c r="D435" s="736"/>
      <c r="E435" s="736"/>
      <c r="F435" s="736"/>
      <c r="G435" s="730"/>
      <c r="H435" s="730"/>
      <c r="I435" s="804"/>
      <c r="J435" s="804"/>
      <c r="K435" s="804"/>
      <c r="L435" s="804"/>
      <c r="M435" s="804"/>
      <c r="N435" s="804"/>
      <c r="O435" s="313"/>
    </row>
    <row r="436" spans="1:16">
      <c r="C436" s="735" t="s">
        <v>263</v>
      </c>
      <c r="D436" s="736"/>
      <c r="E436" s="736"/>
      <c r="F436" s="736"/>
      <c r="G436" s="730"/>
      <c r="H436" s="730"/>
      <c r="I436" s="804"/>
      <c r="J436" s="804"/>
      <c r="K436" s="804"/>
      <c r="L436" s="804"/>
      <c r="M436" s="804"/>
      <c r="N436" s="804"/>
      <c r="O436" s="313"/>
    </row>
    <row r="437" spans="1:16">
      <c r="C437" s="735" t="s">
        <v>84</v>
      </c>
      <c r="D437" s="736"/>
      <c r="E437" s="736"/>
      <c r="F437" s="736"/>
      <c r="G437" s="730"/>
      <c r="H437" s="730"/>
      <c r="I437" s="804"/>
      <c r="J437" s="804"/>
      <c r="K437" s="804"/>
      <c r="L437" s="804"/>
      <c r="M437" s="804"/>
      <c r="N437" s="804"/>
      <c r="O437" s="313"/>
    </row>
    <row r="438" spans="1:16">
      <c r="C438" s="735"/>
      <c r="D438" s="736"/>
      <c r="E438" s="736"/>
      <c r="F438" s="736"/>
      <c r="G438" s="730"/>
      <c r="H438" s="730"/>
      <c r="I438" s="804"/>
      <c r="J438" s="804"/>
      <c r="K438" s="804"/>
      <c r="L438" s="804"/>
      <c r="M438" s="804"/>
      <c r="N438" s="804"/>
      <c r="O438" s="313"/>
    </row>
    <row r="439" spans="1:16">
      <c r="C439" s="1547" t="s">
        <v>6</v>
      </c>
      <c r="D439" s="1547"/>
      <c r="E439" s="1547"/>
      <c r="F439" s="1547"/>
      <c r="G439" s="1547"/>
      <c r="H439" s="1547"/>
      <c r="I439" s="1547"/>
      <c r="J439" s="1547"/>
      <c r="K439" s="1547"/>
      <c r="L439" s="1547"/>
      <c r="M439" s="1547"/>
      <c r="N439" s="1547"/>
      <c r="O439" s="1547"/>
    </row>
    <row r="440" spans="1:16">
      <c r="C440" s="1547"/>
      <c r="D440" s="1547"/>
      <c r="E440" s="1547"/>
      <c r="F440" s="1547"/>
      <c r="G440" s="1547"/>
      <c r="H440" s="1547"/>
      <c r="I440" s="1547"/>
      <c r="J440" s="1547"/>
      <c r="K440" s="1547"/>
      <c r="L440" s="1547"/>
      <c r="M440" s="1547"/>
      <c r="N440" s="1547"/>
      <c r="O440" s="1547"/>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7"/>
      <c r="C442" s="725"/>
      <c r="D442" s="538"/>
      <c r="E442" s="313"/>
      <c r="F442" s="707"/>
      <c r="G442" s="313"/>
      <c r="H442" s="708"/>
      <c r="K442" s="564"/>
      <c r="L442" s="564"/>
      <c r="M442" s="564"/>
      <c r="N442" s="653" t="str">
        <f>"Page "&amp;SUM(P$8:P442)&amp;" of "</f>
        <v xml:space="preserve">Page 6 of </v>
      </c>
      <c r="O442" s="654">
        <f>COUNT(P$8:P$56653)</f>
        <v>23</v>
      </c>
      <c r="P442" s="172">
        <v>1</v>
      </c>
    </row>
    <row r="443" spans="1:16">
      <c r="B443" s="347"/>
      <c r="C443" s="313"/>
      <c r="D443" s="538"/>
      <c r="E443" s="313"/>
      <c r="F443" s="313"/>
      <c r="G443" s="313"/>
      <c r="H443" s="708"/>
      <c r="I443" s="313"/>
      <c r="J443" s="426"/>
      <c r="K443" s="313"/>
      <c r="L443" s="313"/>
      <c r="M443" s="313"/>
      <c r="N443" s="313"/>
      <c r="O443" s="313"/>
    </row>
    <row r="444" spans="1:16" ht="18">
      <c r="B444" s="657" t="s">
        <v>466</v>
      </c>
      <c r="C444" s="739" t="s">
        <v>85</v>
      </c>
      <c r="D444" s="538"/>
      <c r="E444" s="313"/>
      <c r="F444" s="313"/>
      <c r="G444" s="313"/>
      <c r="H444" s="708"/>
      <c r="I444" s="708"/>
      <c r="J444" s="730"/>
      <c r="K444" s="708"/>
      <c r="L444" s="708"/>
      <c r="M444" s="708"/>
      <c r="N444" s="708"/>
      <c r="O444" s="313"/>
    </row>
    <row r="445" spans="1:16" ht="18.75">
      <c r="B445" s="657"/>
      <c r="C445" s="656"/>
      <c r="D445" s="538"/>
      <c r="E445" s="313"/>
      <c r="F445" s="313"/>
      <c r="G445" s="313"/>
      <c r="H445" s="708"/>
      <c r="I445" s="708"/>
      <c r="J445" s="730"/>
      <c r="K445" s="708"/>
      <c r="L445" s="708"/>
      <c r="M445" s="708"/>
      <c r="N445" s="708"/>
      <c r="O445" s="313"/>
    </row>
    <row r="446" spans="1:16" ht="18.75">
      <c r="B446" s="657"/>
      <c r="C446" s="656" t="s">
        <v>86</v>
      </c>
      <c r="D446" s="538"/>
      <c r="E446" s="313"/>
      <c r="F446" s="313"/>
      <c r="G446" s="313"/>
      <c r="H446" s="708"/>
      <c r="I446" s="708"/>
      <c r="J446" s="730"/>
      <c r="K446" s="708"/>
      <c r="L446" s="708"/>
      <c r="M446" s="708"/>
      <c r="N446" s="708"/>
      <c r="O446" s="313"/>
    </row>
    <row r="447" spans="1:16" ht="15.75" thickBot="1">
      <c r="C447" s="239"/>
      <c r="D447" s="538"/>
      <c r="E447" s="313"/>
      <c r="F447" s="313"/>
      <c r="G447" s="313"/>
      <c r="H447" s="708"/>
      <c r="I447" s="708"/>
      <c r="J447" s="730"/>
      <c r="K447" s="708"/>
      <c r="L447" s="708"/>
      <c r="M447" s="708"/>
      <c r="N447" s="708"/>
      <c r="O447" s="313"/>
    </row>
    <row r="448" spans="1:16" ht="15.75">
      <c r="C448" s="659" t="s">
        <v>87</v>
      </c>
      <c r="D448" s="538"/>
      <c r="E448" s="313"/>
      <c r="F448" s="313"/>
      <c r="G448" s="806"/>
      <c r="H448" s="313" t="s">
        <v>66</v>
      </c>
      <c r="I448" s="313"/>
      <c r="J448" s="426"/>
      <c r="K448" s="740" t="s">
        <v>91</v>
      </c>
      <c r="L448" s="741"/>
      <c r="M448" s="742"/>
      <c r="N448" s="743">
        <f>IF(I454=0,0,VLOOKUP(I454,C461:O520,5))</f>
        <v>143340.59080804061</v>
      </c>
      <c r="O448" s="313"/>
    </row>
    <row r="449" spans="2:15" ht="15.75">
      <c r="C449" s="659"/>
      <c r="D449" s="538"/>
      <c r="E449" s="313"/>
      <c r="F449" s="313"/>
      <c r="G449" s="313"/>
      <c r="H449" s="744"/>
      <c r="I449" s="744"/>
      <c r="J449" s="745"/>
      <c r="K449" s="746" t="s">
        <v>92</v>
      </c>
      <c r="L449" s="747"/>
      <c r="M449" s="426"/>
      <c r="N449" s="748">
        <f>IF(I454=0,0,VLOOKUP(I454,C461:O520,6))</f>
        <v>143340.59080804061</v>
      </c>
      <c r="O449" s="313"/>
    </row>
    <row r="450" spans="2:15" ht="13.5" thickBot="1">
      <c r="C450" s="749" t="s">
        <v>88</v>
      </c>
      <c r="D450" s="1537" t="s">
        <v>812</v>
      </c>
      <c r="E450" s="1537"/>
      <c r="F450" s="1537"/>
      <c r="G450" s="1537"/>
      <c r="H450" s="1537"/>
      <c r="I450" s="1537"/>
      <c r="J450" s="730"/>
      <c r="K450" s="750" t="s">
        <v>230</v>
      </c>
      <c r="L450" s="751"/>
      <c r="M450" s="751"/>
      <c r="N450" s="752">
        <f>+N449-N448</f>
        <v>0</v>
      </c>
      <c r="O450" s="313"/>
    </row>
    <row r="451" spans="2:15">
      <c r="C451" s="753"/>
      <c r="D451" s="754"/>
      <c r="E451" s="734"/>
      <c r="F451" s="734"/>
      <c r="G451" s="755"/>
      <c r="H451" s="708"/>
      <c r="I451" s="708"/>
      <c r="J451" s="730"/>
      <c r="K451" s="708"/>
      <c r="L451" s="708"/>
      <c r="M451" s="708"/>
      <c r="N451" s="708"/>
      <c r="O451" s="313"/>
    </row>
    <row r="452" spans="2:15" ht="13.5" thickBot="1">
      <c r="C452" s="756"/>
      <c r="D452" s="757"/>
      <c r="E452" s="755"/>
      <c r="F452" s="755"/>
      <c r="G452" s="755"/>
      <c r="H452" s="755"/>
      <c r="I452" s="755"/>
      <c r="J452" s="758"/>
      <c r="K452" s="755"/>
      <c r="L452" s="755"/>
      <c r="M452" s="755"/>
      <c r="N452" s="755"/>
      <c r="O452" s="347"/>
    </row>
    <row r="453" spans="2:15" ht="13.5" thickBot="1">
      <c r="C453" s="759" t="s">
        <v>89</v>
      </c>
      <c r="D453" s="760"/>
      <c r="E453" s="760"/>
      <c r="F453" s="760"/>
      <c r="G453" s="760"/>
      <c r="H453" s="760"/>
      <c r="I453" s="761"/>
      <c r="J453" s="762"/>
      <c r="K453" s="313"/>
      <c r="L453" s="313"/>
      <c r="M453" s="313"/>
      <c r="N453" s="313"/>
      <c r="O453" s="763"/>
    </row>
    <row r="454" spans="2:15" ht="15">
      <c r="C454" s="764" t="s">
        <v>67</v>
      </c>
      <c r="D454" s="808">
        <v>1076416</v>
      </c>
      <c r="E454" s="725" t="s">
        <v>68</v>
      </c>
      <c r="G454" s="765"/>
      <c r="H454" s="765"/>
      <c r="I454" s="766">
        <f>$L$26</f>
        <v>2023</v>
      </c>
      <c r="J454" s="554"/>
      <c r="K454" s="1536" t="s">
        <v>239</v>
      </c>
      <c r="L454" s="1536"/>
      <c r="M454" s="1536"/>
      <c r="N454" s="1536"/>
      <c r="O454" s="1536"/>
    </row>
    <row r="455" spans="2:15">
      <c r="C455" s="764" t="s">
        <v>70</v>
      </c>
      <c r="D455" s="809">
        <v>2013</v>
      </c>
      <c r="E455" s="764" t="s">
        <v>71</v>
      </c>
      <c r="F455" s="765"/>
      <c r="H455" s="172"/>
      <c r="I455" s="810">
        <f>IF(G448="",0,$F$17)</f>
        <v>0</v>
      </c>
      <c r="J455" s="767"/>
      <c r="K455" s="730" t="s">
        <v>239</v>
      </c>
    </row>
    <row r="456" spans="2:15">
      <c r="C456" s="764" t="s">
        <v>72</v>
      </c>
      <c r="D456" s="808">
        <v>10</v>
      </c>
      <c r="E456" s="764" t="s">
        <v>73</v>
      </c>
      <c r="F456" s="765"/>
      <c r="H456" s="172"/>
      <c r="I456" s="768">
        <f>$G$70</f>
        <v>0.14450383244078713</v>
      </c>
      <c r="J456" s="769"/>
      <c r="K456" s="172" t="str">
        <f>"          INPUT PROJECTED ARR (WITH &amp; WITHOUT INCENTIVES) FROM EACH PRIOR YEAR"</f>
        <v xml:space="preserve">          INPUT PROJECTED ARR (WITH &amp; WITHOUT INCENTIVES) FROM EACH PRIOR YEAR</v>
      </c>
    </row>
    <row r="457" spans="2:15">
      <c r="C457" s="764" t="s">
        <v>74</v>
      </c>
      <c r="D457" s="770">
        <f>$G$79</f>
        <v>35</v>
      </c>
      <c r="E457" s="764" t="s">
        <v>75</v>
      </c>
      <c r="F457" s="765"/>
      <c r="H457" s="172"/>
      <c r="I457" s="768">
        <f>IF(G448="",I456,$G$69)</f>
        <v>0.14450383244078713</v>
      </c>
      <c r="J457" s="771"/>
      <c r="K457" s="172" t="s">
        <v>152</v>
      </c>
    </row>
    <row r="458" spans="2:15" ht="13.5" thickBot="1">
      <c r="C458" s="764" t="s">
        <v>76</v>
      </c>
      <c r="D458" s="807" t="s">
        <v>808</v>
      </c>
      <c r="E458" s="772" t="s">
        <v>77</v>
      </c>
      <c r="F458" s="773"/>
      <c r="G458" s="774"/>
      <c r="H458" s="774"/>
      <c r="I458" s="752">
        <f>IF(D454=0,0,D454/D457)</f>
        <v>30754.742857142857</v>
      </c>
      <c r="J458" s="730"/>
      <c r="K458" s="730" t="s">
        <v>158</v>
      </c>
      <c r="L458" s="730"/>
      <c r="M458" s="730"/>
      <c r="N458" s="730"/>
      <c r="O458" s="426"/>
    </row>
    <row r="459" spans="2:15" ht="38.25">
      <c r="B459" s="845"/>
      <c r="C459" s="775" t="s">
        <v>67</v>
      </c>
      <c r="D459" s="776" t="s">
        <v>78</v>
      </c>
      <c r="E459" s="777" t="s">
        <v>79</v>
      </c>
      <c r="F459" s="776" t="s">
        <v>80</v>
      </c>
      <c r="G459" s="777" t="s">
        <v>151</v>
      </c>
      <c r="H459" s="778" t="s">
        <v>151</v>
      </c>
      <c r="I459" s="775" t="s">
        <v>90</v>
      </c>
      <c r="J459" s="779"/>
      <c r="K459" s="777" t="s">
        <v>160</v>
      </c>
      <c r="L459" s="780"/>
      <c r="M459" s="777" t="s">
        <v>160</v>
      </c>
      <c r="N459" s="780"/>
      <c r="O459" s="780"/>
    </row>
    <row r="460" spans="2:15" ht="13.5" thickBot="1">
      <c r="C460" s="781" t="s">
        <v>469</v>
      </c>
      <c r="D460" s="782" t="s">
        <v>470</v>
      </c>
      <c r="E460" s="781" t="s">
        <v>363</v>
      </c>
      <c r="F460" s="782" t="s">
        <v>470</v>
      </c>
      <c r="G460" s="783" t="s">
        <v>93</v>
      </c>
      <c r="H460" s="784" t="s">
        <v>95</v>
      </c>
      <c r="I460" s="785" t="s">
        <v>15</v>
      </c>
      <c r="J460" s="786"/>
      <c r="K460" s="783" t="s">
        <v>82</v>
      </c>
      <c r="L460" s="787"/>
      <c r="M460" s="783" t="s">
        <v>95</v>
      </c>
      <c r="N460" s="787"/>
      <c r="O460" s="787"/>
    </row>
    <row r="461" spans="2:15">
      <c r="C461" s="788">
        <f>IF(D455= "","-",D455)</f>
        <v>2013</v>
      </c>
      <c r="D461" s="736">
        <f>+D454</f>
        <v>1076416</v>
      </c>
      <c r="E461" s="789">
        <f>+I458/12*(12-D456)</f>
        <v>5125.7904761904765</v>
      </c>
      <c r="F461" s="736">
        <f>+D461-E461</f>
        <v>1071290.2095238096</v>
      </c>
      <c r="G461" s="985">
        <f>+$I$96*((D461+F461)/2)+E461</f>
        <v>160301.67959272378</v>
      </c>
      <c r="H461" s="986">
        <f>$I$97*((D461+F461)/2)+E461</f>
        <v>160301.67959272378</v>
      </c>
      <c r="I461" s="792">
        <f>+H461-G461</f>
        <v>0</v>
      </c>
      <c r="J461" s="792"/>
      <c r="K461" s="811">
        <v>124755</v>
      </c>
      <c r="L461" s="793"/>
      <c r="M461" s="811">
        <v>124755</v>
      </c>
      <c r="N461" s="793"/>
      <c r="O461" s="793"/>
    </row>
    <row r="462" spans="2:15">
      <c r="C462" s="788">
        <f>IF(D455="","-",+C461+1)</f>
        <v>2014</v>
      </c>
      <c r="D462" s="736">
        <f t="shared" ref="D462:D520" si="24">F461</f>
        <v>1071290.2095238096</v>
      </c>
      <c r="E462" s="789">
        <f>IF(D462&gt;$I$458,$I$458,D462)</f>
        <v>30754.742857142857</v>
      </c>
      <c r="F462" s="736">
        <f t="shared" ref="F462:F520" si="25">+D462-E462</f>
        <v>1040535.4666666668</v>
      </c>
      <c r="G462" s="794">
        <f t="shared" ref="G462:G520" si="26">+$I$96*((D462+F462)/2)+E462</f>
        <v>183338.19468533315</v>
      </c>
      <c r="H462" s="795">
        <f t="shared" ref="H462:H520" si="27">$I$97*((D462+F462)/2)+E462</f>
        <v>183338.19468533315</v>
      </c>
      <c r="I462" s="792">
        <f t="shared" ref="I462:I520" si="28">+H462-G462</f>
        <v>0</v>
      </c>
      <c r="J462" s="792"/>
      <c r="K462" s="812">
        <v>140765</v>
      </c>
      <c r="L462" s="796"/>
      <c r="M462" s="812">
        <v>140765</v>
      </c>
      <c r="N462" s="796"/>
      <c r="O462" s="796"/>
    </row>
    <row r="463" spans="2:15">
      <c r="C463" s="788">
        <f>IF(D455="","-",+C462+1)</f>
        <v>2015</v>
      </c>
      <c r="D463" s="736">
        <f t="shared" si="24"/>
        <v>1040535.4666666668</v>
      </c>
      <c r="E463" s="789">
        <f t="shared" ref="E463:E520" si="29">IF(D463&gt;$I$458,$I$458,D463)</f>
        <v>30754.742857142857</v>
      </c>
      <c r="F463" s="736">
        <f t="shared" si="25"/>
        <v>1009780.723809524</v>
      </c>
      <c r="G463" s="794">
        <f t="shared" si="26"/>
        <v>178894.01647674508</v>
      </c>
      <c r="H463" s="795">
        <f t="shared" si="27"/>
        <v>178894.01647674508</v>
      </c>
      <c r="I463" s="792">
        <f t="shared" si="28"/>
        <v>0</v>
      </c>
      <c r="J463" s="792"/>
      <c r="K463" s="812">
        <v>137783</v>
      </c>
      <c r="L463" s="796"/>
      <c r="M463" s="812">
        <v>137783</v>
      </c>
      <c r="N463" s="796"/>
      <c r="O463" s="796"/>
    </row>
    <row r="464" spans="2:15">
      <c r="C464" s="788">
        <f>IF(D455="","-",+C463+1)</f>
        <v>2016</v>
      </c>
      <c r="D464" s="736">
        <f t="shared" si="24"/>
        <v>1009780.723809524</v>
      </c>
      <c r="E464" s="789">
        <f t="shared" si="29"/>
        <v>30754.742857142857</v>
      </c>
      <c r="F464" s="736">
        <f t="shared" si="25"/>
        <v>979025.98095238116</v>
      </c>
      <c r="G464" s="794">
        <f t="shared" si="26"/>
        <v>174449.83826815701</v>
      </c>
      <c r="H464" s="795">
        <f t="shared" si="27"/>
        <v>174449.83826815701</v>
      </c>
      <c r="I464" s="792">
        <f t="shared" si="28"/>
        <v>0</v>
      </c>
      <c r="J464" s="792"/>
      <c r="K464" s="812">
        <v>151179</v>
      </c>
      <c r="L464" s="796"/>
      <c r="M464" s="812">
        <v>151179</v>
      </c>
      <c r="N464" s="796"/>
      <c r="O464" s="796"/>
    </row>
    <row r="465" spans="3:15">
      <c r="C465" s="788">
        <f>IF(D455="","-",+C464+1)</f>
        <v>2017</v>
      </c>
      <c r="D465" s="736">
        <f t="shared" si="24"/>
        <v>979025.98095238116</v>
      </c>
      <c r="E465" s="789">
        <f t="shared" si="29"/>
        <v>30754.742857142857</v>
      </c>
      <c r="F465" s="736">
        <f t="shared" si="25"/>
        <v>948271.23809523834</v>
      </c>
      <c r="G465" s="794">
        <f t="shared" si="26"/>
        <v>170005.66005956897</v>
      </c>
      <c r="H465" s="795">
        <f t="shared" si="27"/>
        <v>170005.66005956897</v>
      </c>
      <c r="I465" s="792">
        <f t="shared" si="28"/>
        <v>0</v>
      </c>
      <c r="J465" s="792"/>
      <c r="K465" s="812">
        <v>180849</v>
      </c>
      <c r="L465" s="796"/>
      <c r="M465" s="812">
        <v>180849</v>
      </c>
      <c r="N465" s="796"/>
      <c r="O465" s="796"/>
    </row>
    <row r="466" spans="3:15">
      <c r="C466" s="788">
        <f>IF(D455="","-",+C465+1)</f>
        <v>2018</v>
      </c>
      <c r="D466" s="736">
        <f t="shared" si="24"/>
        <v>948271.23809523834</v>
      </c>
      <c r="E466" s="789">
        <f t="shared" si="29"/>
        <v>30754.742857142857</v>
      </c>
      <c r="F466" s="736">
        <f t="shared" si="25"/>
        <v>917516.49523809552</v>
      </c>
      <c r="G466" s="794">
        <f t="shared" si="26"/>
        <v>165561.4818509809</v>
      </c>
      <c r="H466" s="795">
        <f t="shared" si="27"/>
        <v>165561.4818509809</v>
      </c>
      <c r="I466" s="792">
        <f t="shared" si="28"/>
        <v>0</v>
      </c>
      <c r="J466" s="792"/>
      <c r="K466" s="812">
        <v>160698</v>
      </c>
      <c r="L466" s="796"/>
      <c r="M466" s="812">
        <f>K466</f>
        <v>160698</v>
      </c>
      <c r="N466" s="796"/>
      <c r="O466" s="796"/>
    </row>
    <row r="467" spans="3:15">
      <c r="C467" s="1290">
        <f>IF(D455="","-",+C466+1)</f>
        <v>2019</v>
      </c>
      <c r="D467" s="736">
        <f t="shared" si="24"/>
        <v>917516.49523809552</v>
      </c>
      <c r="E467" s="789">
        <f t="shared" si="29"/>
        <v>30754.742857142857</v>
      </c>
      <c r="F467" s="736">
        <f t="shared" si="25"/>
        <v>886761.7523809527</v>
      </c>
      <c r="G467" s="794">
        <f t="shared" si="26"/>
        <v>161117.30364239283</v>
      </c>
      <c r="H467" s="795">
        <f t="shared" si="27"/>
        <v>161117.30364239283</v>
      </c>
      <c r="I467" s="792">
        <f t="shared" si="28"/>
        <v>0</v>
      </c>
      <c r="J467" s="792"/>
      <c r="K467" s="812"/>
      <c r="L467" s="796"/>
      <c r="M467" s="812"/>
      <c r="N467" s="796"/>
      <c r="O467" s="796"/>
    </row>
    <row r="468" spans="3:15">
      <c r="C468" s="788">
        <f>IF(D455="","-",+C467+1)</f>
        <v>2020</v>
      </c>
      <c r="D468" s="736">
        <f t="shared" si="24"/>
        <v>886761.7523809527</v>
      </c>
      <c r="E468" s="789">
        <f t="shared" si="29"/>
        <v>30754.742857142857</v>
      </c>
      <c r="F468" s="736">
        <f t="shared" si="25"/>
        <v>856007.00952380989</v>
      </c>
      <c r="G468" s="794">
        <f t="shared" si="26"/>
        <v>156673.12543380479</v>
      </c>
      <c r="H468" s="795">
        <f t="shared" si="27"/>
        <v>156673.12543380479</v>
      </c>
      <c r="I468" s="792">
        <f t="shared" si="28"/>
        <v>0</v>
      </c>
      <c r="J468" s="792"/>
      <c r="K468" s="812"/>
      <c r="L468" s="796"/>
      <c r="M468" s="812"/>
      <c r="N468" s="796"/>
      <c r="O468" s="796"/>
    </row>
    <row r="469" spans="3:15">
      <c r="C469" s="788">
        <f>IF(D455="","-",+C468+1)</f>
        <v>2021</v>
      </c>
      <c r="D469" s="736">
        <f t="shared" si="24"/>
        <v>856007.00952380989</v>
      </c>
      <c r="E469" s="789">
        <f t="shared" si="29"/>
        <v>30754.742857142857</v>
      </c>
      <c r="F469" s="736">
        <f t="shared" si="25"/>
        <v>825252.26666666707</v>
      </c>
      <c r="G469" s="794">
        <f t="shared" si="26"/>
        <v>152228.94722521672</v>
      </c>
      <c r="H469" s="795">
        <f t="shared" si="27"/>
        <v>152228.94722521672</v>
      </c>
      <c r="I469" s="792">
        <f t="shared" si="28"/>
        <v>0</v>
      </c>
      <c r="J469" s="792"/>
      <c r="K469" s="812"/>
      <c r="L469" s="796"/>
      <c r="M469" s="812"/>
      <c r="N469" s="796"/>
      <c r="O469" s="796"/>
    </row>
    <row r="470" spans="3:15">
      <c r="C470" s="788">
        <f>IF(D455="","-",+C469+1)</f>
        <v>2022</v>
      </c>
      <c r="D470" s="736">
        <f t="shared" si="24"/>
        <v>825252.26666666707</v>
      </c>
      <c r="E470" s="789">
        <f t="shared" si="29"/>
        <v>30754.742857142857</v>
      </c>
      <c r="F470" s="736">
        <f t="shared" si="25"/>
        <v>794497.52380952425</v>
      </c>
      <c r="G470" s="794">
        <f t="shared" si="26"/>
        <v>147784.76901662865</v>
      </c>
      <c r="H470" s="795">
        <f t="shared" si="27"/>
        <v>147784.76901662865</v>
      </c>
      <c r="I470" s="792">
        <f t="shared" si="28"/>
        <v>0</v>
      </c>
      <c r="J470" s="792"/>
      <c r="K470" s="812"/>
      <c r="L470" s="796"/>
      <c r="M470" s="812"/>
      <c r="N470" s="796"/>
      <c r="O470" s="796"/>
    </row>
    <row r="471" spans="3:15">
      <c r="C471" s="788">
        <f>IF(D455="","-",+C470+1)</f>
        <v>2023</v>
      </c>
      <c r="D471" s="736">
        <f t="shared" si="24"/>
        <v>794497.52380952425</v>
      </c>
      <c r="E471" s="789">
        <f t="shared" si="29"/>
        <v>30754.742857142857</v>
      </c>
      <c r="F471" s="736">
        <f t="shared" si="25"/>
        <v>763742.78095238144</v>
      </c>
      <c r="G471" s="794">
        <f t="shared" si="26"/>
        <v>143340.59080804061</v>
      </c>
      <c r="H471" s="795">
        <f t="shared" si="27"/>
        <v>143340.59080804061</v>
      </c>
      <c r="I471" s="792">
        <f t="shared" si="28"/>
        <v>0</v>
      </c>
      <c r="J471" s="792"/>
      <c r="K471" s="812"/>
      <c r="L471" s="796"/>
      <c r="M471" s="812"/>
      <c r="N471" s="796"/>
      <c r="O471" s="796"/>
    </row>
    <row r="472" spans="3:15">
      <c r="C472" s="788">
        <f>IF(D455="","-",+C471+1)</f>
        <v>2024</v>
      </c>
      <c r="D472" s="736">
        <f t="shared" si="24"/>
        <v>763742.78095238144</v>
      </c>
      <c r="E472" s="789">
        <f t="shared" si="29"/>
        <v>30754.742857142857</v>
      </c>
      <c r="F472" s="736">
        <f t="shared" si="25"/>
        <v>732988.03809523862</v>
      </c>
      <c r="G472" s="794">
        <f t="shared" si="26"/>
        <v>138896.41259945254</v>
      </c>
      <c r="H472" s="795">
        <f t="shared" si="27"/>
        <v>138896.41259945254</v>
      </c>
      <c r="I472" s="792">
        <f t="shared" si="28"/>
        <v>0</v>
      </c>
      <c r="J472" s="792"/>
      <c r="K472" s="812"/>
      <c r="L472" s="796"/>
      <c r="M472" s="812"/>
      <c r="N472" s="796"/>
      <c r="O472" s="796"/>
    </row>
    <row r="473" spans="3:15">
      <c r="C473" s="788">
        <f>IF(D455="","-",+C472+1)</f>
        <v>2025</v>
      </c>
      <c r="D473" s="736">
        <f t="shared" si="24"/>
        <v>732988.03809523862</v>
      </c>
      <c r="E473" s="789">
        <f t="shared" si="29"/>
        <v>30754.742857142857</v>
      </c>
      <c r="F473" s="736">
        <f t="shared" si="25"/>
        <v>702233.2952380958</v>
      </c>
      <c r="G473" s="794">
        <f t="shared" si="26"/>
        <v>134452.23439086447</v>
      </c>
      <c r="H473" s="795">
        <f t="shared" si="27"/>
        <v>134452.23439086447</v>
      </c>
      <c r="I473" s="792">
        <f t="shared" si="28"/>
        <v>0</v>
      </c>
      <c r="J473" s="792"/>
      <c r="K473" s="812"/>
      <c r="L473" s="796"/>
      <c r="M473" s="812"/>
      <c r="N473" s="797"/>
      <c r="O473" s="796"/>
    </row>
    <row r="474" spans="3:15">
      <c r="C474" s="788">
        <f>IF(D455="","-",+C473+1)</f>
        <v>2026</v>
      </c>
      <c r="D474" s="736">
        <f t="shared" si="24"/>
        <v>702233.2952380958</v>
      </c>
      <c r="E474" s="789">
        <f t="shared" si="29"/>
        <v>30754.742857142857</v>
      </c>
      <c r="F474" s="736">
        <f t="shared" si="25"/>
        <v>671478.55238095298</v>
      </c>
      <c r="G474" s="794">
        <f t="shared" si="26"/>
        <v>130008.05618227643</v>
      </c>
      <c r="H474" s="795">
        <f t="shared" si="27"/>
        <v>130008.05618227643</v>
      </c>
      <c r="I474" s="792">
        <f t="shared" si="28"/>
        <v>0</v>
      </c>
      <c r="J474" s="792"/>
      <c r="K474" s="812"/>
      <c r="L474" s="796"/>
      <c r="M474" s="812"/>
      <c r="N474" s="796"/>
      <c r="O474" s="796"/>
    </row>
    <row r="475" spans="3:15">
      <c r="C475" s="788">
        <f>IF(D455="","-",+C474+1)</f>
        <v>2027</v>
      </c>
      <c r="D475" s="736">
        <f t="shared" si="24"/>
        <v>671478.55238095298</v>
      </c>
      <c r="E475" s="789">
        <f t="shared" si="29"/>
        <v>30754.742857142857</v>
      </c>
      <c r="F475" s="736">
        <f t="shared" si="25"/>
        <v>640723.80952381017</v>
      </c>
      <c r="G475" s="794">
        <f t="shared" si="26"/>
        <v>125563.87797368836</v>
      </c>
      <c r="H475" s="795">
        <f t="shared" si="27"/>
        <v>125563.87797368836</v>
      </c>
      <c r="I475" s="792">
        <f t="shared" si="28"/>
        <v>0</v>
      </c>
      <c r="J475" s="792"/>
      <c r="K475" s="812"/>
      <c r="L475" s="796"/>
      <c r="M475" s="812"/>
      <c r="N475" s="796"/>
      <c r="O475" s="796"/>
    </row>
    <row r="476" spans="3:15">
      <c r="C476" s="788">
        <f>IF(D455="","-",+C475+1)</f>
        <v>2028</v>
      </c>
      <c r="D476" s="736">
        <f t="shared" si="24"/>
        <v>640723.80952381017</v>
      </c>
      <c r="E476" s="789">
        <f t="shared" si="29"/>
        <v>30754.742857142857</v>
      </c>
      <c r="F476" s="736">
        <f t="shared" si="25"/>
        <v>609969.06666666735</v>
      </c>
      <c r="G476" s="794">
        <f t="shared" si="26"/>
        <v>121119.6997651003</v>
      </c>
      <c r="H476" s="795">
        <f t="shared" si="27"/>
        <v>121119.6997651003</v>
      </c>
      <c r="I476" s="792">
        <f t="shared" si="28"/>
        <v>0</v>
      </c>
      <c r="J476" s="792"/>
      <c r="K476" s="812"/>
      <c r="L476" s="796"/>
      <c r="M476" s="812"/>
      <c r="N476" s="796"/>
      <c r="O476" s="796"/>
    </row>
    <row r="477" spans="3:15">
      <c r="C477" s="788">
        <f>IF(D455="","-",+C476+1)</f>
        <v>2029</v>
      </c>
      <c r="D477" s="736">
        <f t="shared" si="24"/>
        <v>609969.06666666735</v>
      </c>
      <c r="E477" s="789">
        <f t="shared" si="29"/>
        <v>30754.742857142857</v>
      </c>
      <c r="F477" s="736">
        <f t="shared" si="25"/>
        <v>579214.32380952453</v>
      </c>
      <c r="G477" s="794">
        <f t="shared" si="26"/>
        <v>116675.52155651225</v>
      </c>
      <c r="H477" s="795">
        <f t="shared" si="27"/>
        <v>116675.52155651225</v>
      </c>
      <c r="I477" s="792">
        <f t="shared" si="28"/>
        <v>0</v>
      </c>
      <c r="J477" s="792"/>
      <c r="K477" s="812"/>
      <c r="L477" s="796"/>
      <c r="M477" s="812"/>
      <c r="N477" s="796"/>
      <c r="O477" s="796"/>
    </row>
    <row r="478" spans="3:15">
      <c r="C478" s="788">
        <f>IF(D455="","-",+C477+1)</f>
        <v>2030</v>
      </c>
      <c r="D478" s="736">
        <f t="shared" si="24"/>
        <v>579214.32380952453</v>
      </c>
      <c r="E478" s="789">
        <f t="shared" si="29"/>
        <v>30754.742857142857</v>
      </c>
      <c r="F478" s="736">
        <f t="shared" si="25"/>
        <v>548459.58095238172</v>
      </c>
      <c r="G478" s="794">
        <f t="shared" si="26"/>
        <v>112231.34334792418</v>
      </c>
      <c r="H478" s="795">
        <f t="shared" si="27"/>
        <v>112231.34334792418</v>
      </c>
      <c r="I478" s="792">
        <f t="shared" si="28"/>
        <v>0</v>
      </c>
      <c r="J478" s="792"/>
      <c r="K478" s="812"/>
      <c r="L478" s="796"/>
      <c r="M478" s="812"/>
      <c r="N478" s="796"/>
      <c r="O478" s="796"/>
    </row>
    <row r="479" spans="3:15">
      <c r="C479" s="788">
        <f>IF(D455="","-",+C478+1)</f>
        <v>2031</v>
      </c>
      <c r="D479" s="736">
        <f t="shared" si="24"/>
        <v>548459.58095238172</v>
      </c>
      <c r="E479" s="789">
        <f t="shared" si="29"/>
        <v>30754.742857142857</v>
      </c>
      <c r="F479" s="736">
        <f t="shared" si="25"/>
        <v>517704.83809523884</v>
      </c>
      <c r="G479" s="794">
        <f t="shared" si="26"/>
        <v>107787.16513933612</v>
      </c>
      <c r="H479" s="795">
        <f t="shared" si="27"/>
        <v>107787.16513933612</v>
      </c>
      <c r="I479" s="792">
        <f t="shared" si="28"/>
        <v>0</v>
      </c>
      <c r="J479" s="792"/>
      <c r="K479" s="812"/>
      <c r="L479" s="796"/>
      <c r="M479" s="812"/>
      <c r="N479" s="796"/>
      <c r="O479" s="796"/>
    </row>
    <row r="480" spans="3:15">
      <c r="C480" s="788">
        <f>IF(D455="","-",+C479+1)</f>
        <v>2032</v>
      </c>
      <c r="D480" s="736">
        <f t="shared" si="24"/>
        <v>517704.83809523884</v>
      </c>
      <c r="E480" s="789">
        <f t="shared" si="29"/>
        <v>30754.742857142857</v>
      </c>
      <c r="F480" s="736">
        <f t="shared" si="25"/>
        <v>486950.09523809596</v>
      </c>
      <c r="G480" s="794">
        <f t="shared" si="26"/>
        <v>103342.98693074804</v>
      </c>
      <c r="H480" s="795">
        <f t="shared" si="27"/>
        <v>103342.98693074804</v>
      </c>
      <c r="I480" s="792">
        <f t="shared" si="28"/>
        <v>0</v>
      </c>
      <c r="J480" s="792"/>
      <c r="K480" s="812"/>
      <c r="L480" s="796"/>
      <c r="M480" s="812"/>
      <c r="N480" s="796"/>
      <c r="O480" s="796"/>
    </row>
    <row r="481" spans="3:15">
      <c r="C481" s="788">
        <f>IF(D455="","-",+C480+1)</f>
        <v>2033</v>
      </c>
      <c r="D481" s="736">
        <f t="shared" si="24"/>
        <v>486950.09523809596</v>
      </c>
      <c r="E481" s="789">
        <f t="shared" si="29"/>
        <v>30754.742857142857</v>
      </c>
      <c r="F481" s="736">
        <f t="shared" si="25"/>
        <v>456195.35238095309</v>
      </c>
      <c r="G481" s="794">
        <f t="shared" si="26"/>
        <v>98898.808722159985</v>
      </c>
      <c r="H481" s="795">
        <f t="shared" si="27"/>
        <v>98898.808722159985</v>
      </c>
      <c r="I481" s="792">
        <f t="shared" si="28"/>
        <v>0</v>
      </c>
      <c r="J481" s="792"/>
      <c r="K481" s="812"/>
      <c r="L481" s="796"/>
      <c r="M481" s="812"/>
      <c r="N481" s="796"/>
      <c r="O481" s="796"/>
    </row>
    <row r="482" spans="3:15">
      <c r="C482" s="788">
        <f>IF(D455="","-",+C481+1)</f>
        <v>2034</v>
      </c>
      <c r="D482" s="736">
        <f t="shared" si="24"/>
        <v>456195.35238095309</v>
      </c>
      <c r="E482" s="789">
        <f t="shared" si="29"/>
        <v>30754.742857142857</v>
      </c>
      <c r="F482" s="736">
        <f t="shared" si="25"/>
        <v>425440.60952381021</v>
      </c>
      <c r="G482" s="794">
        <f t="shared" si="26"/>
        <v>94454.630513571901</v>
      </c>
      <c r="H482" s="795">
        <f t="shared" si="27"/>
        <v>94454.630513571901</v>
      </c>
      <c r="I482" s="792">
        <f t="shared" si="28"/>
        <v>0</v>
      </c>
      <c r="J482" s="792"/>
      <c r="K482" s="812"/>
      <c r="L482" s="796"/>
      <c r="M482" s="812"/>
      <c r="N482" s="796"/>
      <c r="O482" s="796"/>
    </row>
    <row r="483" spans="3:15">
      <c r="C483" s="788">
        <f>IF(D455="","-",+C482+1)</f>
        <v>2035</v>
      </c>
      <c r="D483" s="736">
        <f t="shared" si="24"/>
        <v>425440.60952381021</v>
      </c>
      <c r="E483" s="789">
        <f t="shared" si="29"/>
        <v>30754.742857142857</v>
      </c>
      <c r="F483" s="736">
        <f t="shared" si="25"/>
        <v>394685.86666666734</v>
      </c>
      <c r="G483" s="794">
        <f t="shared" si="26"/>
        <v>90010.452304983846</v>
      </c>
      <c r="H483" s="795">
        <f t="shared" si="27"/>
        <v>90010.452304983846</v>
      </c>
      <c r="I483" s="792">
        <f t="shared" si="28"/>
        <v>0</v>
      </c>
      <c r="J483" s="792"/>
      <c r="K483" s="812"/>
      <c r="L483" s="796"/>
      <c r="M483" s="812"/>
      <c r="N483" s="796"/>
      <c r="O483" s="796"/>
    </row>
    <row r="484" spans="3:15">
      <c r="C484" s="788">
        <f>IF(D455="","-",+C483+1)</f>
        <v>2036</v>
      </c>
      <c r="D484" s="736">
        <f t="shared" si="24"/>
        <v>394685.86666666734</v>
      </c>
      <c r="E484" s="789">
        <f t="shared" si="29"/>
        <v>30754.742857142857</v>
      </c>
      <c r="F484" s="736">
        <f t="shared" si="25"/>
        <v>363931.12380952446</v>
      </c>
      <c r="G484" s="794">
        <f t="shared" si="26"/>
        <v>85566.274096395762</v>
      </c>
      <c r="H484" s="795">
        <f t="shared" si="27"/>
        <v>85566.274096395762</v>
      </c>
      <c r="I484" s="792">
        <f t="shared" si="28"/>
        <v>0</v>
      </c>
      <c r="J484" s="792"/>
      <c r="K484" s="812"/>
      <c r="L484" s="796"/>
      <c r="M484" s="812"/>
      <c r="N484" s="796"/>
      <c r="O484" s="796"/>
    </row>
    <row r="485" spans="3:15">
      <c r="C485" s="788">
        <f>IF(D455="","-",+C484+1)</f>
        <v>2037</v>
      </c>
      <c r="D485" s="736">
        <f t="shared" si="24"/>
        <v>363931.12380952446</v>
      </c>
      <c r="E485" s="789">
        <f t="shared" si="29"/>
        <v>30754.742857142857</v>
      </c>
      <c r="F485" s="736">
        <f t="shared" si="25"/>
        <v>333176.38095238159</v>
      </c>
      <c r="G485" s="794">
        <f t="shared" si="26"/>
        <v>81122.095887807707</v>
      </c>
      <c r="H485" s="795">
        <f t="shared" si="27"/>
        <v>81122.095887807707</v>
      </c>
      <c r="I485" s="792">
        <f t="shared" si="28"/>
        <v>0</v>
      </c>
      <c r="J485" s="792"/>
      <c r="K485" s="812"/>
      <c r="L485" s="796"/>
      <c r="M485" s="812"/>
      <c r="N485" s="796"/>
      <c r="O485" s="796"/>
    </row>
    <row r="486" spans="3:15">
      <c r="C486" s="788">
        <f>IF(D455="","-",+C485+1)</f>
        <v>2038</v>
      </c>
      <c r="D486" s="736">
        <f t="shared" si="24"/>
        <v>333176.38095238159</v>
      </c>
      <c r="E486" s="789">
        <f t="shared" si="29"/>
        <v>30754.742857142857</v>
      </c>
      <c r="F486" s="736">
        <f t="shared" si="25"/>
        <v>302421.63809523871</v>
      </c>
      <c r="G486" s="794">
        <f t="shared" si="26"/>
        <v>76677.917679219623</v>
      </c>
      <c r="H486" s="795">
        <f t="shared" si="27"/>
        <v>76677.917679219623</v>
      </c>
      <c r="I486" s="792">
        <f t="shared" si="28"/>
        <v>0</v>
      </c>
      <c r="J486" s="792"/>
      <c r="K486" s="812"/>
      <c r="L486" s="796"/>
      <c r="M486" s="812"/>
      <c r="N486" s="796"/>
      <c r="O486" s="796"/>
    </row>
    <row r="487" spans="3:15">
      <c r="C487" s="788">
        <f>IF(D455="","-",+C486+1)</f>
        <v>2039</v>
      </c>
      <c r="D487" s="736">
        <f t="shared" si="24"/>
        <v>302421.63809523871</v>
      </c>
      <c r="E487" s="789">
        <f t="shared" si="29"/>
        <v>30754.742857142857</v>
      </c>
      <c r="F487" s="736">
        <f t="shared" si="25"/>
        <v>271666.89523809584</v>
      </c>
      <c r="G487" s="794">
        <f t="shared" si="26"/>
        <v>72233.739470631568</v>
      </c>
      <c r="H487" s="795">
        <f t="shared" si="27"/>
        <v>72233.739470631568</v>
      </c>
      <c r="I487" s="792">
        <f t="shared" si="28"/>
        <v>0</v>
      </c>
      <c r="J487" s="792"/>
      <c r="K487" s="812"/>
      <c r="L487" s="796"/>
      <c r="M487" s="812"/>
      <c r="N487" s="796"/>
      <c r="O487" s="796"/>
    </row>
    <row r="488" spans="3:15">
      <c r="C488" s="788">
        <f>IF(D455="","-",+C487+1)</f>
        <v>2040</v>
      </c>
      <c r="D488" s="736">
        <f t="shared" si="24"/>
        <v>271666.89523809584</v>
      </c>
      <c r="E488" s="789">
        <f t="shared" si="29"/>
        <v>30754.742857142857</v>
      </c>
      <c r="F488" s="736">
        <f t="shared" si="25"/>
        <v>240912.15238095299</v>
      </c>
      <c r="G488" s="794">
        <f t="shared" si="26"/>
        <v>67789.561262043499</v>
      </c>
      <c r="H488" s="795">
        <f t="shared" si="27"/>
        <v>67789.561262043499</v>
      </c>
      <c r="I488" s="792">
        <f t="shared" si="28"/>
        <v>0</v>
      </c>
      <c r="J488" s="792"/>
      <c r="K488" s="812"/>
      <c r="L488" s="796"/>
      <c r="M488" s="812"/>
      <c r="N488" s="796"/>
      <c r="O488" s="796"/>
    </row>
    <row r="489" spans="3:15">
      <c r="C489" s="788">
        <f>IF(D455="","-",+C488+1)</f>
        <v>2041</v>
      </c>
      <c r="D489" s="736">
        <f t="shared" si="24"/>
        <v>240912.15238095299</v>
      </c>
      <c r="E489" s="789">
        <f t="shared" si="29"/>
        <v>30754.742857142857</v>
      </c>
      <c r="F489" s="736">
        <f t="shared" si="25"/>
        <v>210157.40952381014</v>
      </c>
      <c r="G489" s="790">
        <f t="shared" si="26"/>
        <v>63345.383053455429</v>
      </c>
      <c r="H489" s="795">
        <f t="shared" si="27"/>
        <v>63345.383053455429</v>
      </c>
      <c r="I489" s="792">
        <f t="shared" si="28"/>
        <v>0</v>
      </c>
      <c r="J489" s="792"/>
      <c r="K489" s="812"/>
      <c r="L489" s="796"/>
      <c r="M489" s="812"/>
      <c r="N489" s="796"/>
      <c r="O489" s="796"/>
    </row>
    <row r="490" spans="3:15">
      <c r="C490" s="788">
        <f>IF(D455="","-",+C489+1)</f>
        <v>2042</v>
      </c>
      <c r="D490" s="736">
        <f t="shared" si="24"/>
        <v>210157.40952381014</v>
      </c>
      <c r="E490" s="789">
        <f t="shared" si="29"/>
        <v>30754.742857142857</v>
      </c>
      <c r="F490" s="736">
        <f t="shared" si="25"/>
        <v>179402.6666666673</v>
      </c>
      <c r="G490" s="794">
        <f t="shared" si="26"/>
        <v>58901.204844867374</v>
      </c>
      <c r="H490" s="795">
        <f t="shared" si="27"/>
        <v>58901.204844867374</v>
      </c>
      <c r="I490" s="792">
        <f t="shared" si="28"/>
        <v>0</v>
      </c>
      <c r="J490" s="792"/>
      <c r="K490" s="812"/>
      <c r="L490" s="796"/>
      <c r="M490" s="812"/>
      <c r="N490" s="796"/>
      <c r="O490" s="796"/>
    </row>
    <row r="491" spans="3:15">
      <c r="C491" s="788">
        <f>IF(D455="","-",+C490+1)</f>
        <v>2043</v>
      </c>
      <c r="D491" s="736">
        <f t="shared" si="24"/>
        <v>179402.6666666673</v>
      </c>
      <c r="E491" s="789">
        <f t="shared" si="29"/>
        <v>30754.742857142857</v>
      </c>
      <c r="F491" s="736">
        <f t="shared" si="25"/>
        <v>148647.92380952445</v>
      </c>
      <c r="G491" s="794">
        <f t="shared" si="26"/>
        <v>54457.026636279305</v>
      </c>
      <c r="H491" s="795">
        <f t="shared" si="27"/>
        <v>54457.026636279305</v>
      </c>
      <c r="I491" s="792">
        <f t="shared" si="28"/>
        <v>0</v>
      </c>
      <c r="J491" s="792"/>
      <c r="K491" s="812"/>
      <c r="L491" s="796"/>
      <c r="M491" s="812"/>
      <c r="N491" s="796"/>
      <c r="O491" s="796"/>
    </row>
    <row r="492" spans="3:15">
      <c r="C492" s="788">
        <f>IF(D455="","-",+C491+1)</f>
        <v>2044</v>
      </c>
      <c r="D492" s="736">
        <f t="shared" si="24"/>
        <v>148647.92380952445</v>
      </c>
      <c r="E492" s="789">
        <f t="shared" si="29"/>
        <v>30754.742857142857</v>
      </c>
      <c r="F492" s="736">
        <f t="shared" si="25"/>
        <v>117893.18095238159</v>
      </c>
      <c r="G492" s="794">
        <f t="shared" si="26"/>
        <v>50012.848427691235</v>
      </c>
      <c r="H492" s="795">
        <f t="shared" si="27"/>
        <v>50012.848427691235</v>
      </c>
      <c r="I492" s="792">
        <f t="shared" si="28"/>
        <v>0</v>
      </c>
      <c r="J492" s="792"/>
      <c r="K492" s="812"/>
      <c r="L492" s="796"/>
      <c r="M492" s="812"/>
      <c r="N492" s="796"/>
      <c r="O492" s="796"/>
    </row>
    <row r="493" spans="3:15">
      <c r="C493" s="788">
        <f>IF(D455="","-",+C492+1)</f>
        <v>2045</v>
      </c>
      <c r="D493" s="736">
        <f t="shared" si="24"/>
        <v>117893.18095238159</v>
      </c>
      <c r="E493" s="789">
        <f t="shared" si="29"/>
        <v>30754.742857142857</v>
      </c>
      <c r="F493" s="736">
        <f t="shared" si="25"/>
        <v>87138.438095238729</v>
      </c>
      <c r="G493" s="794">
        <f t="shared" si="26"/>
        <v>45568.670219103173</v>
      </c>
      <c r="H493" s="795">
        <f t="shared" si="27"/>
        <v>45568.670219103173</v>
      </c>
      <c r="I493" s="792">
        <f t="shared" si="28"/>
        <v>0</v>
      </c>
      <c r="J493" s="792"/>
      <c r="K493" s="812"/>
      <c r="L493" s="796"/>
      <c r="M493" s="812"/>
      <c r="N493" s="796"/>
      <c r="O493" s="796"/>
    </row>
    <row r="494" spans="3:15">
      <c r="C494" s="788">
        <f>IF(D455="","-",+C493+1)</f>
        <v>2046</v>
      </c>
      <c r="D494" s="736">
        <f t="shared" si="24"/>
        <v>87138.438095238729</v>
      </c>
      <c r="E494" s="789">
        <f t="shared" si="29"/>
        <v>30754.742857142857</v>
      </c>
      <c r="F494" s="736">
        <f t="shared" si="25"/>
        <v>56383.695238095868</v>
      </c>
      <c r="G494" s="794">
        <f t="shared" si="26"/>
        <v>41124.492010515103</v>
      </c>
      <c r="H494" s="795">
        <f t="shared" si="27"/>
        <v>41124.492010515103</v>
      </c>
      <c r="I494" s="792">
        <f t="shared" si="28"/>
        <v>0</v>
      </c>
      <c r="J494" s="792"/>
      <c r="K494" s="812"/>
      <c r="L494" s="796"/>
      <c r="M494" s="812"/>
      <c r="N494" s="796"/>
      <c r="O494" s="796"/>
    </row>
    <row r="495" spans="3:15">
      <c r="C495" s="788">
        <f>IF(D455="","-",+C494+1)</f>
        <v>2047</v>
      </c>
      <c r="D495" s="736">
        <f t="shared" si="24"/>
        <v>56383.695238095868</v>
      </c>
      <c r="E495" s="789">
        <f t="shared" si="29"/>
        <v>30754.742857142857</v>
      </c>
      <c r="F495" s="736">
        <f t="shared" si="25"/>
        <v>25628.952380953011</v>
      </c>
      <c r="G495" s="794">
        <f t="shared" si="26"/>
        <v>36680.313801927034</v>
      </c>
      <c r="H495" s="795">
        <f t="shared" si="27"/>
        <v>36680.313801927034</v>
      </c>
      <c r="I495" s="792">
        <f t="shared" si="28"/>
        <v>0</v>
      </c>
      <c r="J495" s="792"/>
      <c r="K495" s="812"/>
      <c r="L495" s="796"/>
      <c r="M495" s="812"/>
      <c r="N495" s="796"/>
      <c r="O495" s="796"/>
    </row>
    <row r="496" spans="3:15">
      <c r="C496" s="788">
        <f>IF(D455="","-",+C495+1)</f>
        <v>2048</v>
      </c>
      <c r="D496" s="736">
        <f t="shared" si="24"/>
        <v>25628.952380953011</v>
      </c>
      <c r="E496" s="789">
        <f t="shared" si="29"/>
        <v>25628.952380953011</v>
      </c>
      <c r="F496" s="736">
        <f t="shared" si="25"/>
        <v>0</v>
      </c>
      <c r="G496" s="794">
        <f t="shared" si="26"/>
        <v>27480.693301198084</v>
      </c>
      <c r="H496" s="795">
        <f t="shared" si="27"/>
        <v>27480.693301198084</v>
      </c>
      <c r="I496" s="792">
        <f t="shared" si="28"/>
        <v>0</v>
      </c>
      <c r="J496" s="792"/>
      <c r="K496" s="812"/>
      <c r="L496" s="796"/>
      <c r="M496" s="812"/>
      <c r="N496" s="796"/>
      <c r="O496" s="796"/>
    </row>
    <row r="497" spans="3:15">
      <c r="C497" s="788">
        <f>IF(D455="","-",+C496+1)</f>
        <v>2049</v>
      </c>
      <c r="D497" s="736">
        <f t="shared" si="24"/>
        <v>0</v>
      </c>
      <c r="E497" s="789">
        <f t="shared" si="29"/>
        <v>0</v>
      </c>
      <c r="F497" s="736">
        <f t="shared" si="25"/>
        <v>0</v>
      </c>
      <c r="G497" s="794">
        <f t="shared" si="26"/>
        <v>0</v>
      </c>
      <c r="H497" s="795">
        <f t="shared" si="27"/>
        <v>0</v>
      </c>
      <c r="I497" s="792">
        <f t="shared" si="28"/>
        <v>0</v>
      </c>
      <c r="J497" s="792"/>
      <c r="K497" s="812"/>
      <c r="L497" s="796"/>
      <c r="M497" s="812"/>
      <c r="N497" s="796"/>
      <c r="O497" s="796"/>
    </row>
    <row r="498" spans="3:15">
      <c r="C498" s="788">
        <f>IF(D455="","-",+C497+1)</f>
        <v>2050</v>
      </c>
      <c r="D498" s="736">
        <f t="shared" si="24"/>
        <v>0</v>
      </c>
      <c r="E498" s="789">
        <f t="shared" si="29"/>
        <v>0</v>
      </c>
      <c r="F498" s="736">
        <f t="shared" si="25"/>
        <v>0</v>
      </c>
      <c r="G498" s="794">
        <f t="shared" si="26"/>
        <v>0</v>
      </c>
      <c r="H498" s="795">
        <f t="shared" si="27"/>
        <v>0</v>
      </c>
      <c r="I498" s="792">
        <f t="shared" si="28"/>
        <v>0</v>
      </c>
      <c r="J498" s="792"/>
      <c r="K498" s="812"/>
      <c r="L498" s="796"/>
      <c r="M498" s="812"/>
      <c r="N498" s="796"/>
      <c r="O498" s="796"/>
    </row>
    <row r="499" spans="3:15">
      <c r="C499" s="788">
        <f>IF(D455="","-",+C498+1)</f>
        <v>2051</v>
      </c>
      <c r="D499" s="736">
        <f t="shared" si="24"/>
        <v>0</v>
      </c>
      <c r="E499" s="789">
        <f t="shared" si="29"/>
        <v>0</v>
      </c>
      <c r="F499" s="736">
        <f t="shared" si="25"/>
        <v>0</v>
      </c>
      <c r="G499" s="794">
        <f t="shared" si="26"/>
        <v>0</v>
      </c>
      <c r="H499" s="795">
        <f t="shared" si="27"/>
        <v>0</v>
      </c>
      <c r="I499" s="792">
        <f t="shared" si="28"/>
        <v>0</v>
      </c>
      <c r="J499" s="792"/>
      <c r="K499" s="812"/>
      <c r="L499" s="796"/>
      <c r="M499" s="812"/>
      <c r="N499" s="796"/>
      <c r="O499" s="796"/>
    </row>
    <row r="500" spans="3:15">
      <c r="C500" s="788">
        <f>IF(D455="","-",+C499+1)</f>
        <v>2052</v>
      </c>
      <c r="D500" s="736">
        <f t="shared" si="24"/>
        <v>0</v>
      </c>
      <c r="E500" s="789">
        <f t="shared" si="29"/>
        <v>0</v>
      </c>
      <c r="F500" s="736">
        <f t="shared" si="25"/>
        <v>0</v>
      </c>
      <c r="G500" s="794">
        <f t="shared" si="26"/>
        <v>0</v>
      </c>
      <c r="H500" s="795">
        <f t="shared" si="27"/>
        <v>0</v>
      </c>
      <c r="I500" s="792">
        <f t="shared" si="28"/>
        <v>0</v>
      </c>
      <c r="J500" s="792"/>
      <c r="K500" s="812"/>
      <c r="L500" s="796"/>
      <c r="M500" s="812"/>
      <c r="N500" s="796"/>
      <c r="O500" s="796"/>
    </row>
    <row r="501" spans="3:15">
      <c r="C501" s="788">
        <f>IF(D455="","-",+C500+1)</f>
        <v>2053</v>
      </c>
      <c r="D501" s="736">
        <f t="shared" si="24"/>
        <v>0</v>
      </c>
      <c r="E501" s="789">
        <f t="shared" si="29"/>
        <v>0</v>
      </c>
      <c r="F501" s="736">
        <f t="shared" si="25"/>
        <v>0</v>
      </c>
      <c r="G501" s="794">
        <f t="shared" si="26"/>
        <v>0</v>
      </c>
      <c r="H501" s="795">
        <f t="shared" si="27"/>
        <v>0</v>
      </c>
      <c r="I501" s="792">
        <f t="shared" si="28"/>
        <v>0</v>
      </c>
      <c r="J501" s="792"/>
      <c r="K501" s="812"/>
      <c r="L501" s="796"/>
      <c r="M501" s="812"/>
      <c r="N501" s="796"/>
      <c r="O501" s="796"/>
    </row>
    <row r="502" spans="3:15">
      <c r="C502" s="788">
        <f>IF(D455="","-",+C501+1)</f>
        <v>2054</v>
      </c>
      <c r="D502" s="736">
        <f t="shared" si="24"/>
        <v>0</v>
      </c>
      <c r="E502" s="789">
        <f t="shared" si="29"/>
        <v>0</v>
      </c>
      <c r="F502" s="736">
        <f t="shared" si="25"/>
        <v>0</v>
      </c>
      <c r="G502" s="794">
        <f t="shared" si="26"/>
        <v>0</v>
      </c>
      <c r="H502" s="795">
        <f t="shared" si="27"/>
        <v>0</v>
      </c>
      <c r="I502" s="792">
        <f t="shared" si="28"/>
        <v>0</v>
      </c>
      <c r="J502" s="792"/>
      <c r="K502" s="812"/>
      <c r="L502" s="796"/>
      <c r="M502" s="812"/>
      <c r="N502" s="796"/>
      <c r="O502" s="796"/>
    </row>
    <row r="503" spans="3:15">
      <c r="C503" s="788">
        <f>IF(D455="","-",+C502+1)</f>
        <v>2055</v>
      </c>
      <c r="D503" s="736">
        <f t="shared" si="24"/>
        <v>0</v>
      </c>
      <c r="E503" s="789">
        <f t="shared" si="29"/>
        <v>0</v>
      </c>
      <c r="F503" s="736">
        <f t="shared" si="25"/>
        <v>0</v>
      </c>
      <c r="G503" s="794">
        <f t="shared" si="26"/>
        <v>0</v>
      </c>
      <c r="H503" s="795">
        <f t="shared" si="27"/>
        <v>0</v>
      </c>
      <c r="I503" s="792">
        <f t="shared" si="28"/>
        <v>0</v>
      </c>
      <c r="J503" s="792"/>
      <c r="K503" s="812"/>
      <c r="L503" s="796"/>
      <c r="M503" s="812"/>
      <c r="N503" s="796"/>
      <c r="O503" s="796"/>
    </row>
    <row r="504" spans="3:15">
      <c r="C504" s="788">
        <f>IF(D455="","-",+C503+1)</f>
        <v>2056</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2057</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2058</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2059</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2060</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2061</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2062</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2063</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2064</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2065</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2066</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2067</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2068</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2069</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2070</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2071</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2072</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83</v>
      </c>
      <c r="D521" s="730"/>
      <c r="E521" s="730">
        <f>SUM(E461:E520)</f>
        <v>1076416.0000000002</v>
      </c>
      <c r="F521" s="730"/>
      <c r="G521" s="730">
        <f>SUM(G461:G520)</f>
        <v>3928097.0171773452</v>
      </c>
      <c r="H521" s="730">
        <f>SUM(H461:H520)</f>
        <v>3928097.0171773452</v>
      </c>
      <c r="I521" s="730">
        <f>SUM(I461:I520)</f>
        <v>0</v>
      </c>
      <c r="J521" s="730"/>
      <c r="K521" s="730"/>
      <c r="L521" s="730"/>
      <c r="M521" s="730"/>
      <c r="N521" s="730"/>
      <c r="O521" s="313"/>
    </row>
    <row r="522" spans="3:15">
      <c r="D522" s="538"/>
      <c r="E522" s="313"/>
      <c r="F522" s="313"/>
      <c r="G522" s="313"/>
      <c r="H522" s="708"/>
      <c r="I522" s="708"/>
      <c r="J522" s="730"/>
      <c r="K522" s="708"/>
      <c r="L522" s="708"/>
      <c r="M522" s="708"/>
      <c r="N522" s="708"/>
      <c r="O522" s="313"/>
    </row>
    <row r="523" spans="3:15">
      <c r="C523" s="313" t="s">
        <v>13</v>
      </c>
      <c r="D523" s="538"/>
      <c r="E523" s="313"/>
      <c r="F523" s="313"/>
      <c r="G523" s="313"/>
      <c r="H523" s="708"/>
      <c r="I523" s="708"/>
      <c r="J523" s="730"/>
      <c r="K523" s="708"/>
      <c r="L523" s="708"/>
      <c r="M523" s="708"/>
      <c r="N523" s="708"/>
      <c r="O523" s="313"/>
    </row>
    <row r="524" spans="3:15">
      <c r="C524" s="313"/>
      <c r="D524" s="538"/>
      <c r="E524" s="313"/>
      <c r="F524" s="313"/>
      <c r="G524" s="313"/>
      <c r="H524" s="708"/>
      <c r="I524" s="708"/>
      <c r="J524" s="730"/>
      <c r="K524" s="708"/>
      <c r="L524" s="708"/>
      <c r="M524" s="708"/>
      <c r="N524" s="708"/>
      <c r="O524" s="313"/>
    </row>
    <row r="525" spans="3:15">
      <c r="C525" s="749" t="s">
        <v>14</v>
      </c>
      <c r="D525" s="736"/>
      <c r="E525" s="736"/>
      <c r="F525" s="736"/>
      <c r="G525" s="730"/>
      <c r="H525" s="730"/>
      <c r="I525" s="804"/>
      <c r="J525" s="804"/>
      <c r="K525" s="804"/>
      <c r="L525" s="804"/>
      <c r="M525" s="804"/>
      <c r="N525" s="804"/>
      <c r="O525" s="313"/>
    </row>
    <row r="526" spans="3:15">
      <c r="C526" s="735" t="s">
        <v>263</v>
      </c>
      <c r="D526" s="736"/>
      <c r="E526" s="736"/>
      <c r="F526" s="736"/>
      <c r="G526" s="730"/>
      <c r="H526" s="730"/>
      <c r="I526" s="804"/>
      <c r="J526" s="804"/>
      <c r="K526" s="804"/>
      <c r="L526" s="804"/>
      <c r="M526" s="804"/>
      <c r="N526" s="804"/>
      <c r="O526" s="313"/>
    </row>
    <row r="527" spans="3:15">
      <c r="C527" s="735" t="s">
        <v>84</v>
      </c>
      <c r="D527" s="736"/>
      <c r="E527" s="736"/>
      <c r="F527" s="736"/>
      <c r="G527" s="730"/>
      <c r="H527" s="730"/>
      <c r="I527" s="804"/>
      <c r="J527" s="804"/>
      <c r="K527" s="804"/>
      <c r="L527" s="804"/>
      <c r="M527" s="804"/>
      <c r="N527" s="804"/>
      <c r="O527" s="313"/>
    </row>
    <row r="528" spans="3:15">
      <c r="C528" s="735"/>
      <c r="D528" s="736"/>
      <c r="E528" s="736"/>
      <c r="F528" s="736"/>
      <c r="G528" s="730"/>
      <c r="H528" s="730"/>
      <c r="I528" s="804"/>
      <c r="J528" s="804"/>
      <c r="K528" s="804"/>
      <c r="L528" s="804"/>
      <c r="M528" s="804"/>
      <c r="N528" s="804"/>
      <c r="O528" s="313"/>
    </row>
    <row r="529" spans="1:16">
      <c r="C529" s="1547" t="s">
        <v>6</v>
      </c>
      <c r="D529" s="1547"/>
      <c r="E529" s="1547"/>
      <c r="F529" s="1547"/>
      <c r="G529" s="1547"/>
      <c r="H529" s="1547"/>
      <c r="I529" s="1547"/>
      <c r="J529" s="1547"/>
      <c r="K529" s="1547"/>
      <c r="L529" s="1547"/>
      <c r="M529" s="1547"/>
      <c r="N529" s="1547"/>
      <c r="O529" s="1547"/>
    </row>
    <row r="530" spans="1:16">
      <c r="C530" s="1547"/>
      <c r="D530" s="1547"/>
      <c r="E530" s="1547"/>
      <c r="F530" s="1547"/>
      <c r="G530" s="1547"/>
      <c r="H530" s="1547"/>
      <c r="I530" s="1547"/>
      <c r="J530" s="1547"/>
      <c r="K530" s="1547"/>
      <c r="L530" s="1547"/>
      <c r="M530" s="1547"/>
      <c r="N530" s="1547"/>
      <c r="O530" s="1547"/>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7"/>
      <c r="C532" s="725"/>
      <c r="D532" s="538"/>
      <c r="E532" s="313"/>
      <c r="F532" s="707"/>
      <c r="G532" s="313"/>
      <c r="H532" s="708"/>
      <c r="K532" s="564"/>
      <c r="L532" s="564"/>
      <c r="M532" s="564"/>
      <c r="N532" s="653" t="str">
        <f>"Page "&amp;SUM(P$8:P532)&amp;" of "</f>
        <v xml:space="preserve">Page 7 of </v>
      </c>
      <c r="O532" s="654">
        <f>COUNT(P$8:P$56653)</f>
        <v>23</v>
      </c>
      <c r="P532" s="172">
        <v>1</v>
      </c>
    </row>
    <row r="533" spans="1:16">
      <c r="B533" s="347"/>
      <c r="C533" s="313"/>
      <c r="D533" s="538"/>
      <c r="E533" s="313"/>
      <c r="F533" s="313"/>
      <c r="G533" s="313"/>
      <c r="H533" s="708"/>
      <c r="I533" s="313"/>
      <c r="J533" s="426"/>
      <c r="K533" s="313"/>
      <c r="L533" s="313"/>
      <c r="M533" s="313"/>
      <c r="N533" s="313"/>
      <c r="O533" s="313"/>
    </row>
    <row r="534" spans="1:16" ht="18">
      <c r="B534" s="657" t="s">
        <v>466</v>
      </c>
      <c r="C534" s="739" t="s">
        <v>85</v>
      </c>
      <c r="D534" s="538"/>
      <c r="E534" s="313"/>
      <c r="F534" s="313"/>
      <c r="G534" s="313"/>
      <c r="H534" s="708"/>
      <c r="I534" s="708"/>
      <c r="J534" s="730"/>
      <c r="K534" s="708"/>
      <c r="L534" s="708"/>
      <c r="M534" s="708"/>
      <c r="N534" s="708"/>
      <c r="O534" s="313"/>
    </row>
    <row r="535" spans="1:16" ht="18.75">
      <c r="B535" s="657"/>
      <c r="C535" s="656"/>
      <c r="D535" s="538"/>
      <c r="E535" s="313"/>
      <c r="F535" s="313"/>
      <c r="G535" s="313"/>
      <c r="H535" s="708"/>
      <c r="I535" s="708"/>
      <c r="J535" s="730"/>
      <c r="K535" s="708"/>
      <c r="L535" s="708"/>
      <c r="M535" s="708"/>
      <c r="N535" s="708"/>
      <c r="O535" s="313"/>
    </row>
    <row r="536" spans="1:16" ht="18.75">
      <c r="B536" s="657"/>
      <c r="C536" s="656" t="s">
        <v>86</v>
      </c>
      <c r="D536" s="538"/>
      <c r="E536" s="313"/>
      <c r="F536" s="313"/>
      <c r="G536" s="313"/>
      <c r="H536" s="708"/>
      <c r="I536" s="708"/>
      <c r="J536" s="730"/>
      <c r="K536" s="708"/>
      <c r="L536" s="708"/>
      <c r="M536" s="708"/>
      <c r="N536" s="708"/>
      <c r="O536" s="313"/>
    </row>
    <row r="537" spans="1:16" ht="15.75" thickBot="1">
      <c r="C537" s="239"/>
      <c r="D537" s="538"/>
      <c r="E537" s="313"/>
      <c r="F537" s="313"/>
      <c r="G537" s="313"/>
      <c r="H537" s="708"/>
      <c r="I537" s="708"/>
      <c r="J537" s="730"/>
      <c r="K537" s="708"/>
      <c r="L537" s="708"/>
      <c r="M537" s="708"/>
      <c r="N537" s="708"/>
      <c r="O537" s="313"/>
    </row>
    <row r="538" spans="1:16" ht="15.75">
      <c r="C538" s="659" t="s">
        <v>87</v>
      </c>
      <c r="D538" s="538"/>
      <c r="E538" s="313"/>
      <c r="F538" s="313"/>
      <c r="G538" s="806"/>
      <c r="H538" s="313" t="s">
        <v>66</v>
      </c>
      <c r="I538" s="313"/>
      <c r="J538" s="426"/>
      <c r="K538" s="740" t="s">
        <v>91</v>
      </c>
      <c r="L538" s="741"/>
      <c r="M538" s="742"/>
      <c r="N538" s="743">
        <f>IF(I544=0,0,VLOOKUP(I544,C551:O610,5))</f>
        <v>916845.71510925877</v>
      </c>
      <c r="O538" s="313"/>
    </row>
    <row r="539" spans="1:16" ht="15.75">
      <c r="C539" s="659"/>
      <c r="D539" s="538"/>
      <c r="E539" s="313"/>
      <c r="F539" s="313"/>
      <c r="G539" s="313"/>
      <c r="H539" s="744"/>
      <c r="I539" s="744"/>
      <c r="J539" s="745"/>
      <c r="K539" s="746" t="s">
        <v>92</v>
      </c>
      <c r="L539" s="747"/>
      <c r="M539" s="426"/>
      <c r="N539" s="748">
        <f>IF(I544=0,0,VLOOKUP(I544,C551:O610,6))</f>
        <v>916845.71510925877</v>
      </c>
      <c r="O539" s="313"/>
    </row>
    <row r="540" spans="1:16" ht="13.5" customHeight="1" thickBot="1">
      <c r="C540" s="749" t="s">
        <v>88</v>
      </c>
      <c r="D540" s="1537" t="s">
        <v>813</v>
      </c>
      <c r="E540" s="1537"/>
      <c r="F540" s="1537"/>
      <c r="G540" s="1537"/>
      <c r="H540" s="1537"/>
      <c r="I540" s="1537"/>
      <c r="J540" s="730"/>
      <c r="K540" s="750" t="s">
        <v>230</v>
      </c>
      <c r="L540" s="751"/>
      <c r="M540" s="751"/>
      <c r="N540" s="752">
        <f>+N539-N538</f>
        <v>0</v>
      </c>
      <c r="O540" s="313"/>
    </row>
    <row r="541" spans="1:16">
      <c r="C541" s="753"/>
      <c r="D541" s="1537"/>
      <c r="E541" s="1537"/>
      <c r="F541" s="1537"/>
      <c r="G541" s="1537"/>
      <c r="H541" s="1537"/>
      <c r="I541" s="1537"/>
      <c r="J541" s="730"/>
      <c r="K541" s="708"/>
      <c r="L541" s="708"/>
      <c r="M541" s="708"/>
      <c r="N541" s="708"/>
      <c r="O541" s="313"/>
    </row>
    <row r="542" spans="1:16" ht="13.5" thickBot="1">
      <c r="C542" s="756"/>
      <c r="D542" s="757"/>
      <c r="E542" s="755"/>
      <c r="F542" s="755"/>
      <c r="G542" s="755"/>
      <c r="H542" s="755"/>
      <c r="I542" s="755"/>
      <c r="J542" s="758"/>
      <c r="K542" s="755"/>
      <c r="L542" s="755"/>
      <c r="M542" s="755"/>
      <c r="N542" s="755"/>
      <c r="O542" s="347"/>
    </row>
    <row r="543" spans="1:16" ht="13.5" thickBot="1">
      <c r="C543" s="759" t="s">
        <v>89</v>
      </c>
      <c r="D543" s="760"/>
      <c r="E543" s="760"/>
      <c r="F543" s="760"/>
      <c r="G543" s="760"/>
      <c r="H543" s="760"/>
      <c r="I543" s="761"/>
      <c r="J543" s="762"/>
      <c r="K543" s="313"/>
      <c r="L543" s="313"/>
      <c r="M543" s="313"/>
      <c r="N543" s="313"/>
      <c r="O543" s="763"/>
    </row>
    <row r="544" spans="1:16" ht="15">
      <c r="C544" s="764" t="s">
        <v>67</v>
      </c>
      <c r="D544" s="808">
        <v>6849657</v>
      </c>
      <c r="E544" s="725" t="s">
        <v>68</v>
      </c>
      <c r="G544" s="765"/>
      <c r="H544" s="765"/>
      <c r="I544" s="766">
        <f>$L$26</f>
        <v>2023</v>
      </c>
      <c r="J544" s="554"/>
      <c r="K544" s="1536" t="s">
        <v>239</v>
      </c>
      <c r="L544" s="1536"/>
      <c r="M544" s="1536"/>
      <c r="N544" s="1536"/>
      <c r="O544" s="1536"/>
    </row>
    <row r="545" spans="2:15">
      <c r="C545" s="764" t="s">
        <v>70</v>
      </c>
      <c r="D545" s="809">
        <v>2013</v>
      </c>
      <c r="E545" s="764" t="s">
        <v>71</v>
      </c>
      <c r="F545" s="765"/>
      <c r="H545" s="172"/>
      <c r="I545" s="810">
        <f>IF(G538="",0,$F$17)</f>
        <v>0</v>
      </c>
      <c r="J545" s="767"/>
      <c r="K545" s="730" t="s">
        <v>239</v>
      </c>
    </row>
    <row r="546" spans="2:15">
      <c r="C546" s="764" t="s">
        <v>72</v>
      </c>
      <c r="D546" s="808">
        <v>12</v>
      </c>
      <c r="E546" s="764" t="s">
        <v>73</v>
      </c>
      <c r="F546" s="765"/>
      <c r="H546" s="172"/>
      <c r="I546" s="768">
        <f>$G$70</f>
        <v>0.14450383244078713</v>
      </c>
      <c r="J546" s="769"/>
      <c r="K546" s="172" t="str">
        <f>"          INPUT PROJECTED ARR (WITH &amp; WITHOUT INCENTIVES) FROM EACH PRIOR YEAR"</f>
        <v xml:space="preserve">          INPUT PROJECTED ARR (WITH &amp; WITHOUT INCENTIVES) FROM EACH PRIOR YEAR</v>
      </c>
    </row>
    <row r="547" spans="2:15">
      <c r="C547" s="764" t="s">
        <v>74</v>
      </c>
      <c r="D547" s="770">
        <f>$G$79</f>
        <v>35</v>
      </c>
      <c r="E547" s="764" t="s">
        <v>75</v>
      </c>
      <c r="F547" s="765"/>
      <c r="H547" s="172"/>
      <c r="I547" s="768">
        <f>IF(G538="",I546,$G$69)</f>
        <v>0.14450383244078713</v>
      </c>
      <c r="J547" s="771"/>
      <c r="K547" s="172" t="s">
        <v>152</v>
      </c>
    </row>
    <row r="548" spans="2:15" ht="13.5" thickBot="1">
      <c r="C548" s="764" t="s">
        <v>76</v>
      </c>
      <c r="D548" s="807" t="s">
        <v>808</v>
      </c>
      <c r="E548" s="772" t="s">
        <v>77</v>
      </c>
      <c r="F548" s="773"/>
      <c r="G548" s="774"/>
      <c r="H548" s="774"/>
      <c r="I548" s="752">
        <f>IF(D544=0,0,D544/D547)</f>
        <v>195704.48571428572</v>
      </c>
      <c r="J548" s="730"/>
      <c r="K548" s="730" t="s">
        <v>158</v>
      </c>
      <c r="L548" s="730"/>
      <c r="M548" s="730"/>
      <c r="N548" s="730"/>
      <c r="O548" s="426"/>
    </row>
    <row r="549" spans="2:15" ht="38.25">
      <c r="B549" s="845"/>
      <c r="C549" s="775" t="s">
        <v>67</v>
      </c>
      <c r="D549" s="776" t="s">
        <v>78</v>
      </c>
      <c r="E549" s="777" t="s">
        <v>79</v>
      </c>
      <c r="F549" s="776" t="s">
        <v>80</v>
      </c>
      <c r="G549" s="777" t="s">
        <v>151</v>
      </c>
      <c r="H549" s="778" t="s">
        <v>151</v>
      </c>
      <c r="I549" s="775" t="s">
        <v>90</v>
      </c>
      <c r="J549" s="779"/>
      <c r="K549" s="777" t="s">
        <v>160</v>
      </c>
      <c r="L549" s="780"/>
      <c r="M549" s="777" t="s">
        <v>160</v>
      </c>
      <c r="N549" s="780"/>
      <c r="O549" s="780"/>
    </row>
    <row r="550" spans="2:15" ht="13.5" thickBot="1">
      <c r="C550" s="781" t="s">
        <v>469</v>
      </c>
      <c r="D550" s="782" t="s">
        <v>470</v>
      </c>
      <c r="E550" s="781" t="s">
        <v>363</v>
      </c>
      <c r="F550" s="782" t="s">
        <v>470</v>
      </c>
      <c r="G550" s="783" t="s">
        <v>93</v>
      </c>
      <c r="H550" s="784" t="s">
        <v>95</v>
      </c>
      <c r="I550" s="785" t="s">
        <v>15</v>
      </c>
      <c r="J550" s="786"/>
      <c r="K550" s="783" t="s">
        <v>82</v>
      </c>
      <c r="L550" s="787"/>
      <c r="M550" s="783" t="s">
        <v>95</v>
      </c>
      <c r="N550" s="787"/>
      <c r="O550" s="787"/>
    </row>
    <row r="551" spans="2:15">
      <c r="C551" s="788">
        <f>IF(D545= "","-",D545)</f>
        <v>2013</v>
      </c>
      <c r="D551" s="736">
        <f>+D544</f>
        <v>6849657</v>
      </c>
      <c r="E551" s="789">
        <f>+I548/12*(12-D546)</f>
        <v>0</v>
      </c>
      <c r="F551" s="736">
        <f>+D551-E551</f>
        <v>6849657</v>
      </c>
      <c r="G551" s="985">
        <f>+$I$96*((D551+F551)/2)+E551</f>
        <v>989801.68740486458</v>
      </c>
      <c r="H551" s="986">
        <f>$I$97*((D551+F551)/2)+E551</f>
        <v>989801.68740486458</v>
      </c>
      <c r="I551" s="792">
        <f>+H551-G551</f>
        <v>0</v>
      </c>
      <c r="J551" s="792"/>
      <c r="K551" s="811">
        <v>576980</v>
      </c>
      <c r="L551" s="793"/>
      <c r="M551" s="811">
        <v>576980</v>
      </c>
      <c r="N551" s="793"/>
      <c r="O551" s="793"/>
    </row>
    <row r="552" spans="2:15">
      <c r="C552" s="788">
        <f>IF(D545="","-",+C551+1)</f>
        <v>2014</v>
      </c>
      <c r="D552" s="736">
        <f t="shared" ref="D552:D610" si="30">F551</f>
        <v>6849657</v>
      </c>
      <c r="E552" s="789">
        <f>IF(D552&gt;$I$548,$I$548,D552)</f>
        <v>195704.48571428572</v>
      </c>
      <c r="F552" s="736">
        <f t="shared" ref="F552:F610" si="31">+D552-E552</f>
        <v>6653952.5142857144</v>
      </c>
      <c r="G552" s="794">
        <f t="shared" ref="G552:G610" si="32">+$I$96*((D552+F552)/2)+E552</f>
        <v>1171366.1490133666</v>
      </c>
      <c r="H552" s="795">
        <f t="shared" ref="H552:H610" si="33">$I$97*((D552+F552)/2)+E552</f>
        <v>1171366.1490133666</v>
      </c>
      <c r="I552" s="792">
        <f t="shared" ref="I552:I610" si="34">+H552-G552</f>
        <v>0</v>
      </c>
      <c r="J552" s="792"/>
      <c r="K552" s="812">
        <v>900905</v>
      </c>
      <c r="L552" s="796"/>
      <c r="M552" s="812">
        <v>900905</v>
      </c>
      <c r="N552" s="796"/>
      <c r="O552" s="796"/>
    </row>
    <row r="553" spans="2:15">
      <c r="C553" s="788">
        <f>IF(D545="","-",+C552+1)</f>
        <v>2015</v>
      </c>
      <c r="D553" s="736">
        <f t="shared" si="30"/>
        <v>6653952.5142857144</v>
      </c>
      <c r="E553" s="789">
        <f t="shared" ref="E553:E610" si="35">IF(D553&gt;$I$548,$I$548,D553)</f>
        <v>195704.48571428572</v>
      </c>
      <c r="F553" s="736">
        <f t="shared" si="31"/>
        <v>6458248.0285714287</v>
      </c>
      <c r="G553" s="794">
        <f t="shared" si="32"/>
        <v>1143086.100801799</v>
      </c>
      <c r="H553" s="795">
        <f t="shared" si="33"/>
        <v>1143086.100801799</v>
      </c>
      <c r="I553" s="792">
        <f t="shared" si="34"/>
        <v>0</v>
      </c>
      <c r="J553" s="792"/>
      <c r="K553" s="812">
        <v>882849</v>
      </c>
      <c r="L553" s="796"/>
      <c r="M553" s="812">
        <v>882849</v>
      </c>
      <c r="N553" s="796"/>
      <c r="O553" s="796"/>
    </row>
    <row r="554" spans="2:15">
      <c r="C554" s="788">
        <f>IF(D545="","-",+C553+1)</f>
        <v>2016</v>
      </c>
      <c r="D554" s="736">
        <f t="shared" si="30"/>
        <v>6458248.0285714287</v>
      </c>
      <c r="E554" s="789">
        <f t="shared" si="35"/>
        <v>195704.48571428572</v>
      </c>
      <c r="F554" s="736">
        <f t="shared" si="31"/>
        <v>6262543.5428571431</v>
      </c>
      <c r="G554" s="794">
        <f t="shared" si="32"/>
        <v>1114806.0525902314</v>
      </c>
      <c r="H554" s="795">
        <f t="shared" si="33"/>
        <v>1114806.0525902314</v>
      </c>
      <c r="I554" s="792">
        <f t="shared" si="34"/>
        <v>0</v>
      </c>
      <c r="J554" s="792"/>
      <c r="K554" s="812">
        <v>964681</v>
      </c>
      <c r="L554" s="796"/>
      <c r="M554" s="812">
        <v>964681</v>
      </c>
      <c r="N554" s="796"/>
      <c r="O554" s="796"/>
    </row>
    <row r="555" spans="2:15">
      <c r="C555" s="788">
        <f>IF(D545="","-",+C554+1)</f>
        <v>2017</v>
      </c>
      <c r="D555" s="736">
        <f t="shared" si="30"/>
        <v>6262543.5428571431</v>
      </c>
      <c r="E555" s="789">
        <f t="shared" si="35"/>
        <v>195704.48571428572</v>
      </c>
      <c r="F555" s="736">
        <f t="shared" si="31"/>
        <v>6066839.0571428575</v>
      </c>
      <c r="G555" s="794">
        <f t="shared" si="32"/>
        <v>1086526.0043786641</v>
      </c>
      <c r="H555" s="795">
        <f t="shared" si="33"/>
        <v>1086526.0043786641</v>
      </c>
      <c r="I555" s="792">
        <f t="shared" si="34"/>
        <v>0</v>
      </c>
      <c r="J555" s="792"/>
      <c r="K555" s="812">
        <v>1154533</v>
      </c>
      <c r="L555" s="796"/>
      <c r="M555" s="812">
        <v>1154533</v>
      </c>
      <c r="N555" s="796"/>
      <c r="O555" s="796"/>
    </row>
    <row r="556" spans="2:15">
      <c r="C556" s="1312">
        <f>IF(D545="","-",+C555+1)</f>
        <v>2018</v>
      </c>
      <c r="D556" s="736">
        <f t="shared" si="30"/>
        <v>6066839.0571428575</v>
      </c>
      <c r="E556" s="789">
        <f t="shared" si="35"/>
        <v>195704.48571428572</v>
      </c>
      <c r="F556" s="736">
        <f t="shared" si="31"/>
        <v>5871134.5714285718</v>
      </c>
      <c r="G556" s="794">
        <f t="shared" si="32"/>
        <v>1058245.9561670963</v>
      </c>
      <c r="H556" s="795">
        <f t="shared" si="33"/>
        <v>1058245.9561670963</v>
      </c>
      <c r="I556" s="792">
        <f t="shared" si="34"/>
        <v>0</v>
      </c>
      <c r="J556" s="792"/>
      <c r="K556" s="812">
        <v>1026972</v>
      </c>
      <c r="L556" s="796"/>
      <c r="M556" s="812">
        <v>1026972</v>
      </c>
      <c r="N556" s="796"/>
      <c r="O556" s="796"/>
    </row>
    <row r="557" spans="2:15">
      <c r="C557" s="1290">
        <f>IF(D545="","-",+C556+1)</f>
        <v>2019</v>
      </c>
      <c r="D557" s="736">
        <f t="shared" si="30"/>
        <v>5871134.5714285718</v>
      </c>
      <c r="E557" s="789">
        <f t="shared" si="35"/>
        <v>195704.48571428572</v>
      </c>
      <c r="F557" s="736">
        <f t="shared" si="31"/>
        <v>5675430.0857142862</v>
      </c>
      <c r="G557" s="794">
        <f t="shared" si="32"/>
        <v>1029965.9079555289</v>
      </c>
      <c r="H557" s="795">
        <f t="shared" si="33"/>
        <v>1029965.9079555289</v>
      </c>
      <c r="I557" s="792">
        <f t="shared" si="34"/>
        <v>0</v>
      </c>
      <c r="J557" s="792"/>
      <c r="K557" s="812"/>
      <c r="L557" s="796"/>
      <c r="M557" s="812"/>
      <c r="N557" s="796"/>
      <c r="O557" s="796"/>
    </row>
    <row r="558" spans="2:15">
      <c r="C558" s="788">
        <f>IF(D545="","-",+C557+1)</f>
        <v>2020</v>
      </c>
      <c r="D558" s="736">
        <f t="shared" si="30"/>
        <v>5675430.0857142862</v>
      </c>
      <c r="E558" s="789">
        <f t="shared" si="35"/>
        <v>195704.48571428572</v>
      </c>
      <c r="F558" s="736">
        <f t="shared" si="31"/>
        <v>5479725.6000000006</v>
      </c>
      <c r="G558" s="794">
        <f t="shared" si="32"/>
        <v>1001685.8597439612</v>
      </c>
      <c r="H558" s="795">
        <f t="shared" si="33"/>
        <v>1001685.8597439612</v>
      </c>
      <c r="I558" s="792">
        <f t="shared" si="34"/>
        <v>0</v>
      </c>
      <c r="J558" s="792"/>
      <c r="K558" s="812"/>
      <c r="L558" s="796"/>
      <c r="M558" s="812"/>
      <c r="N558" s="796"/>
      <c r="O558" s="796"/>
    </row>
    <row r="559" spans="2:15">
      <c r="C559" s="788">
        <f>IF(D545="","-",+C558+1)</f>
        <v>2021</v>
      </c>
      <c r="D559" s="736">
        <f t="shared" si="30"/>
        <v>5479725.6000000006</v>
      </c>
      <c r="E559" s="789">
        <f t="shared" si="35"/>
        <v>195704.48571428572</v>
      </c>
      <c r="F559" s="736">
        <f t="shared" si="31"/>
        <v>5284021.1142857149</v>
      </c>
      <c r="G559" s="794">
        <f t="shared" si="32"/>
        <v>973405.8115323938</v>
      </c>
      <c r="H559" s="795">
        <f t="shared" si="33"/>
        <v>973405.8115323938</v>
      </c>
      <c r="I559" s="792">
        <f t="shared" si="34"/>
        <v>0</v>
      </c>
      <c r="J559" s="792"/>
      <c r="K559" s="812"/>
      <c r="L559" s="796"/>
      <c r="M559" s="812"/>
      <c r="N559" s="796"/>
      <c r="O559" s="796"/>
    </row>
    <row r="560" spans="2:15">
      <c r="C560" s="788">
        <f>IF(D545="","-",+C559+1)</f>
        <v>2022</v>
      </c>
      <c r="D560" s="736">
        <f t="shared" si="30"/>
        <v>5284021.1142857149</v>
      </c>
      <c r="E560" s="789">
        <f t="shared" si="35"/>
        <v>195704.48571428572</v>
      </c>
      <c r="F560" s="736">
        <f t="shared" si="31"/>
        <v>5088316.6285714293</v>
      </c>
      <c r="G560" s="794">
        <f t="shared" si="32"/>
        <v>945125.76332082611</v>
      </c>
      <c r="H560" s="795">
        <f t="shared" si="33"/>
        <v>945125.76332082611</v>
      </c>
      <c r="I560" s="792">
        <f t="shared" si="34"/>
        <v>0</v>
      </c>
      <c r="J560" s="792"/>
      <c r="K560" s="812"/>
      <c r="L560" s="796"/>
      <c r="M560" s="812"/>
      <c r="N560" s="796"/>
      <c r="O560" s="796"/>
    </row>
    <row r="561" spans="3:15">
      <c r="C561" s="788">
        <f>IF(D545="","-",+C560+1)</f>
        <v>2023</v>
      </c>
      <c r="D561" s="736">
        <f t="shared" si="30"/>
        <v>5088316.6285714293</v>
      </c>
      <c r="E561" s="789">
        <f t="shared" si="35"/>
        <v>195704.48571428572</v>
      </c>
      <c r="F561" s="736">
        <f t="shared" si="31"/>
        <v>4892612.1428571437</v>
      </c>
      <c r="G561" s="794">
        <f t="shared" si="32"/>
        <v>916845.71510925877</v>
      </c>
      <c r="H561" s="795">
        <f t="shared" si="33"/>
        <v>916845.71510925877</v>
      </c>
      <c r="I561" s="792">
        <f t="shared" si="34"/>
        <v>0</v>
      </c>
      <c r="J561" s="792"/>
      <c r="K561" s="812"/>
      <c r="L561" s="796"/>
      <c r="M561" s="812"/>
      <c r="N561" s="796"/>
      <c r="O561" s="796"/>
    </row>
    <row r="562" spans="3:15">
      <c r="C562" s="788">
        <f>IF(D545="","-",+C561+1)</f>
        <v>2024</v>
      </c>
      <c r="D562" s="736">
        <f t="shared" si="30"/>
        <v>4892612.1428571437</v>
      </c>
      <c r="E562" s="789">
        <f t="shared" si="35"/>
        <v>195704.48571428572</v>
      </c>
      <c r="F562" s="736">
        <f t="shared" si="31"/>
        <v>4696907.657142858</v>
      </c>
      <c r="G562" s="794">
        <f t="shared" si="32"/>
        <v>888565.66689769109</v>
      </c>
      <c r="H562" s="795">
        <f t="shared" si="33"/>
        <v>888565.66689769109</v>
      </c>
      <c r="I562" s="792">
        <f t="shared" si="34"/>
        <v>0</v>
      </c>
      <c r="J562" s="792"/>
      <c r="K562" s="812"/>
      <c r="L562" s="796"/>
      <c r="M562" s="812"/>
      <c r="N562" s="796"/>
      <c r="O562" s="796"/>
    </row>
    <row r="563" spans="3:15">
      <c r="C563" s="788">
        <f>IF(D545="","-",+C562+1)</f>
        <v>2025</v>
      </c>
      <c r="D563" s="736">
        <f t="shared" si="30"/>
        <v>4696907.657142858</v>
      </c>
      <c r="E563" s="789">
        <f t="shared" si="35"/>
        <v>195704.48571428572</v>
      </c>
      <c r="F563" s="736">
        <f t="shared" si="31"/>
        <v>4501203.1714285724</v>
      </c>
      <c r="G563" s="794">
        <f t="shared" si="32"/>
        <v>860285.61868612363</v>
      </c>
      <c r="H563" s="795">
        <f t="shared" si="33"/>
        <v>860285.61868612363</v>
      </c>
      <c r="I563" s="792">
        <f t="shared" si="34"/>
        <v>0</v>
      </c>
      <c r="J563" s="792"/>
      <c r="K563" s="812"/>
      <c r="L563" s="796"/>
      <c r="M563" s="812"/>
      <c r="N563" s="797"/>
      <c r="O563" s="796"/>
    </row>
    <row r="564" spans="3:15">
      <c r="C564" s="788">
        <f>IF(D545="","-",+C563+1)</f>
        <v>2026</v>
      </c>
      <c r="D564" s="736">
        <f t="shared" si="30"/>
        <v>4501203.1714285724</v>
      </c>
      <c r="E564" s="789">
        <f t="shared" si="35"/>
        <v>195704.48571428572</v>
      </c>
      <c r="F564" s="736">
        <f t="shared" si="31"/>
        <v>4305498.6857142868</v>
      </c>
      <c r="G564" s="794">
        <f t="shared" si="32"/>
        <v>832005.57047455595</v>
      </c>
      <c r="H564" s="795">
        <f t="shared" si="33"/>
        <v>832005.57047455595</v>
      </c>
      <c r="I564" s="792">
        <f t="shared" si="34"/>
        <v>0</v>
      </c>
      <c r="J564" s="792"/>
      <c r="K564" s="812"/>
      <c r="L564" s="796"/>
      <c r="M564" s="812"/>
      <c r="N564" s="796"/>
      <c r="O564" s="796"/>
    </row>
    <row r="565" spans="3:15">
      <c r="C565" s="788">
        <f>IF(D545="","-",+C564+1)</f>
        <v>2027</v>
      </c>
      <c r="D565" s="736">
        <f t="shared" si="30"/>
        <v>4305498.6857142868</v>
      </c>
      <c r="E565" s="789">
        <f t="shared" si="35"/>
        <v>195704.48571428572</v>
      </c>
      <c r="F565" s="736">
        <f t="shared" si="31"/>
        <v>4109794.2000000011</v>
      </c>
      <c r="G565" s="794">
        <f t="shared" si="32"/>
        <v>803725.5222629885</v>
      </c>
      <c r="H565" s="795">
        <f t="shared" si="33"/>
        <v>803725.5222629885</v>
      </c>
      <c r="I565" s="792">
        <f t="shared" si="34"/>
        <v>0</v>
      </c>
      <c r="J565" s="792"/>
      <c r="K565" s="812"/>
      <c r="L565" s="796"/>
      <c r="M565" s="812"/>
      <c r="N565" s="796"/>
      <c r="O565" s="796"/>
    </row>
    <row r="566" spans="3:15">
      <c r="C566" s="788">
        <f>IF(D545="","-",+C565+1)</f>
        <v>2028</v>
      </c>
      <c r="D566" s="736">
        <f t="shared" si="30"/>
        <v>4109794.2000000011</v>
      </c>
      <c r="E566" s="789">
        <f t="shared" si="35"/>
        <v>195704.48571428572</v>
      </c>
      <c r="F566" s="736">
        <f t="shared" si="31"/>
        <v>3914089.7142857155</v>
      </c>
      <c r="G566" s="794">
        <f t="shared" si="32"/>
        <v>775445.47405142093</v>
      </c>
      <c r="H566" s="795">
        <f t="shared" si="33"/>
        <v>775445.47405142093</v>
      </c>
      <c r="I566" s="792">
        <f t="shared" si="34"/>
        <v>0</v>
      </c>
      <c r="J566" s="792"/>
      <c r="K566" s="812"/>
      <c r="L566" s="796"/>
      <c r="M566" s="812"/>
      <c r="N566" s="796"/>
      <c r="O566" s="796"/>
    </row>
    <row r="567" spans="3:15">
      <c r="C567" s="788">
        <f>IF(D545="","-",+C566+1)</f>
        <v>2029</v>
      </c>
      <c r="D567" s="736">
        <f t="shared" si="30"/>
        <v>3914089.7142857155</v>
      </c>
      <c r="E567" s="789">
        <f t="shared" si="35"/>
        <v>195704.48571428572</v>
      </c>
      <c r="F567" s="736">
        <f t="shared" si="31"/>
        <v>3718385.2285714298</v>
      </c>
      <c r="G567" s="794">
        <f t="shared" si="32"/>
        <v>747165.42583985336</v>
      </c>
      <c r="H567" s="795">
        <f t="shared" si="33"/>
        <v>747165.42583985336</v>
      </c>
      <c r="I567" s="792">
        <f t="shared" si="34"/>
        <v>0</v>
      </c>
      <c r="J567" s="792"/>
      <c r="K567" s="812"/>
      <c r="L567" s="796"/>
      <c r="M567" s="812"/>
      <c r="N567" s="796"/>
      <c r="O567" s="796"/>
    </row>
    <row r="568" spans="3:15">
      <c r="C568" s="788">
        <f>IF(D545="","-",+C567+1)</f>
        <v>2030</v>
      </c>
      <c r="D568" s="736">
        <f t="shared" si="30"/>
        <v>3718385.2285714298</v>
      </c>
      <c r="E568" s="789">
        <f t="shared" si="35"/>
        <v>195704.48571428572</v>
      </c>
      <c r="F568" s="736">
        <f t="shared" si="31"/>
        <v>3522680.7428571442</v>
      </c>
      <c r="G568" s="794">
        <f t="shared" si="32"/>
        <v>718885.37762828579</v>
      </c>
      <c r="H568" s="795">
        <f t="shared" si="33"/>
        <v>718885.37762828579</v>
      </c>
      <c r="I568" s="792">
        <f t="shared" si="34"/>
        <v>0</v>
      </c>
      <c r="J568" s="792"/>
      <c r="K568" s="812"/>
      <c r="L568" s="796"/>
      <c r="M568" s="812"/>
      <c r="N568" s="796"/>
      <c r="O568" s="796"/>
    </row>
    <row r="569" spans="3:15">
      <c r="C569" s="788">
        <f>IF(D545="","-",+C568+1)</f>
        <v>2031</v>
      </c>
      <c r="D569" s="736">
        <f t="shared" si="30"/>
        <v>3522680.7428571442</v>
      </c>
      <c r="E569" s="789">
        <f t="shared" si="35"/>
        <v>195704.48571428572</v>
      </c>
      <c r="F569" s="736">
        <f t="shared" si="31"/>
        <v>3326976.2571428586</v>
      </c>
      <c r="G569" s="794">
        <f t="shared" si="32"/>
        <v>690605.32941671822</v>
      </c>
      <c r="H569" s="795">
        <f t="shared" si="33"/>
        <v>690605.32941671822</v>
      </c>
      <c r="I569" s="792">
        <f t="shared" si="34"/>
        <v>0</v>
      </c>
      <c r="J569" s="792"/>
      <c r="K569" s="812"/>
      <c r="L569" s="796"/>
      <c r="M569" s="812"/>
      <c r="N569" s="796"/>
      <c r="O569" s="796"/>
    </row>
    <row r="570" spans="3:15">
      <c r="C570" s="788">
        <f>IF(D545="","-",+C569+1)</f>
        <v>2032</v>
      </c>
      <c r="D570" s="736">
        <f t="shared" si="30"/>
        <v>3326976.2571428586</v>
      </c>
      <c r="E570" s="789">
        <f t="shared" si="35"/>
        <v>195704.48571428572</v>
      </c>
      <c r="F570" s="736">
        <f t="shared" si="31"/>
        <v>3131271.7714285729</v>
      </c>
      <c r="G570" s="794">
        <f t="shared" si="32"/>
        <v>662325.28120515065</v>
      </c>
      <c r="H570" s="795">
        <f t="shared" si="33"/>
        <v>662325.28120515065</v>
      </c>
      <c r="I570" s="792">
        <f t="shared" si="34"/>
        <v>0</v>
      </c>
      <c r="J570" s="792"/>
      <c r="K570" s="812"/>
      <c r="L570" s="796"/>
      <c r="M570" s="812"/>
      <c r="N570" s="796"/>
      <c r="O570" s="796"/>
    </row>
    <row r="571" spans="3:15">
      <c r="C571" s="788">
        <f>IF(D545="","-",+C570+1)</f>
        <v>2033</v>
      </c>
      <c r="D571" s="736">
        <f t="shared" si="30"/>
        <v>3131271.7714285729</v>
      </c>
      <c r="E571" s="789">
        <f t="shared" si="35"/>
        <v>195704.48571428572</v>
      </c>
      <c r="F571" s="736">
        <f t="shared" si="31"/>
        <v>2935567.2857142873</v>
      </c>
      <c r="G571" s="794">
        <f t="shared" si="32"/>
        <v>634045.23299358319</v>
      </c>
      <c r="H571" s="795">
        <f t="shared" si="33"/>
        <v>634045.23299358319</v>
      </c>
      <c r="I571" s="792">
        <f t="shared" si="34"/>
        <v>0</v>
      </c>
      <c r="J571" s="792"/>
      <c r="K571" s="812"/>
      <c r="L571" s="796"/>
      <c r="M571" s="812"/>
      <c r="N571" s="796"/>
      <c r="O571" s="796"/>
    </row>
    <row r="572" spans="3:15">
      <c r="C572" s="788">
        <f>IF(D545="","-",+C571+1)</f>
        <v>2034</v>
      </c>
      <c r="D572" s="736">
        <f t="shared" si="30"/>
        <v>2935567.2857142873</v>
      </c>
      <c r="E572" s="789">
        <f t="shared" si="35"/>
        <v>195704.48571428572</v>
      </c>
      <c r="F572" s="736">
        <f t="shared" si="31"/>
        <v>2739862.8000000017</v>
      </c>
      <c r="G572" s="794">
        <f t="shared" si="32"/>
        <v>605765.18478201563</v>
      </c>
      <c r="H572" s="795">
        <f t="shared" si="33"/>
        <v>605765.18478201563</v>
      </c>
      <c r="I572" s="792">
        <f t="shared" si="34"/>
        <v>0</v>
      </c>
      <c r="J572" s="792"/>
      <c r="K572" s="812"/>
      <c r="L572" s="796"/>
      <c r="M572" s="812"/>
      <c r="N572" s="796"/>
      <c r="O572" s="796"/>
    </row>
    <row r="573" spans="3:15">
      <c r="C573" s="788">
        <f>IF(D545="","-",+C572+1)</f>
        <v>2035</v>
      </c>
      <c r="D573" s="736">
        <f t="shared" si="30"/>
        <v>2739862.8000000017</v>
      </c>
      <c r="E573" s="789">
        <f t="shared" si="35"/>
        <v>195704.48571428572</v>
      </c>
      <c r="F573" s="736">
        <f t="shared" si="31"/>
        <v>2544158.314285716</v>
      </c>
      <c r="G573" s="794">
        <f t="shared" si="32"/>
        <v>577485.13657044806</v>
      </c>
      <c r="H573" s="795">
        <f t="shared" si="33"/>
        <v>577485.13657044806</v>
      </c>
      <c r="I573" s="792">
        <f t="shared" si="34"/>
        <v>0</v>
      </c>
      <c r="J573" s="792"/>
      <c r="K573" s="812"/>
      <c r="L573" s="796"/>
      <c r="M573" s="812"/>
      <c r="N573" s="796"/>
      <c r="O573" s="796"/>
    </row>
    <row r="574" spans="3:15">
      <c r="C574" s="788">
        <f>IF(D545="","-",+C573+1)</f>
        <v>2036</v>
      </c>
      <c r="D574" s="736">
        <f t="shared" si="30"/>
        <v>2544158.314285716</v>
      </c>
      <c r="E574" s="789">
        <f t="shared" si="35"/>
        <v>195704.48571428572</v>
      </c>
      <c r="F574" s="736">
        <f t="shared" si="31"/>
        <v>2348453.8285714304</v>
      </c>
      <c r="G574" s="794">
        <f t="shared" si="32"/>
        <v>549205.08835888049</v>
      </c>
      <c r="H574" s="795">
        <f t="shared" si="33"/>
        <v>549205.08835888049</v>
      </c>
      <c r="I574" s="792">
        <f t="shared" si="34"/>
        <v>0</v>
      </c>
      <c r="J574" s="792"/>
      <c r="K574" s="812"/>
      <c r="L574" s="796"/>
      <c r="M574" s="812"/>
      <c r="N574" s="796"/>
      <c r="O574" s="796"/>
    </row>
    <row r="575" spans="3:15">
      <c r="C575" s="788">
        <f>IF(D545="","-",+C574+1)</f>
        <v>2037</v>
      </c>
      <c r="D575" s="736">
        <f t="shared" si="30"/>
        <v>2348453.8285714304</v>
      </c>
      <c r="E575" s="789">
        <f t="shared" si="35"/>
        <v>195704.48571428572</v>
      </c>
      <c r="F575" s="736">
        <f t="shared" si="31"/>
        <v>2152749.3428571448</v>
      </c>
      <c r="G575" s="794">
        <f t="shared" si="32"/>
        <v>520925.04014731292</v>
      </c>
      <c r="H575" s="795">
        <f t="shared" si="33"/>
        <v>520925.04014731292</v>
      </c>
      <c r="I575" s="792">
        <f t="shared" si="34"/>
        <v>0</v>
      </c>
      <c r="J575" s="792"/>
      <c r="K575" s="812"/>
      <c r="L575" s="796"/>
      <c r="M575" s="812"/>
      <c r="N575" s="796"/>
      <c r="O575" s="796"/>
    </row>
    <row r="576" spans="3:15">
      <c r="C576" s="788">
        <f>IF(D545="","-",+C575+1)</f>
        <v>2038</v>
      </c>
      <c r="D576" s="736">
        <f t="shared" si="30"/>
        <v>2152749.3428571448</v>
      </c>
      <c r="E576" s="789">
        <f t="shared" si="35"/>
        <v>195704.48571428572</v>
      </c>
      <c r="F576" s="736">
        <f t="shared" si="31"/>
        <v>1957044.8571428591</v>
      </c>
      <c r="G576" s="794">
        <f t="shared" si="32"/>
        <v>492644.99193574535</v>
      </c>
      <c r="H576" s="795">
        <f t="shared" si="33"/>
        <v>492644.99193574535</v>
      </c>
      <c r="I576" s="792">
        <f t="shared" si="34"/>
        <v>0</v>
      </c>
      <c r="J576" s="792"/>
      <c r="K576" s="812"/>
      <c r="L576" s="796"/>
      <c r="M576" s="812"/>
      <c r="N576" s="796"/>
      <c r="O576" s="796"/>
    </row>
    <row r="577" spans="3:15">
      <c r="C577" s="788">
        <f>IF(D545="","-",+C576+1)</f>
        <v>2039</v>
      </c>
      <c r="D577" s="736">
        <f t="shared" si="30"/>
        <v>1957044.8571428591</v>
      </c>
      <c r="E577" s="789">
        <f t="shared" si="35"/>
        <v>195704.48571428572</v>
      </c>
      <c r="F577" s="736">
        <f t="shared" si="31"/>
        <v>1761340.3714285735</v>
      </c>
      <c r="G577" s="794">
        <f t="shared" si="32"/>
        <v>464364.94372417789</v>
      </c>
      <c r="H577" s="795">
        <f t="shared" si="33"/>
        <v>464364.94372417789</v>
      </c>
      <c r="I577" s="792">
        <f t="shared" si="34"/>
        <v>0</v>
      </c>
      <c r="J577" s="792"/>
      <c r="K577" s="812"/>
      <c r="L577" s="796"/>
      <c r="M577" s="812"/>
      <c r="N577" s="796"/>
      <c r="O577" s="796"/>
    </row>
    <row r="578" spans="3:15">
      <c r="C578" s="788">
        <f>IF(D545="","-",+C577+1)</f>
        <v>2040</v>
      </c>
      <c r="D578" s="736">
        <f t="shared" si="30"/>
        <v>1761340.3714285735</v>
      </c>
      <c r="E578" s="789">
        <f t="shared" si="35"/>
        <v>195704.48571428572</v>
      </c>
      <c r="F578" s="736">
        <f t="shared" si="31"/>
        <v>1565635.8857142879</v>
      </c>
      <c r="G578" s="794">
        <f t="shared" si="32"/>
        <v>436084.89551261032</v>
      </c>
      <c r="H578" s="795">
        <f t="shared" si="33"/>
        <v>436084.89551261032</v>
      </c>
      <c r="I578" s="792">
        <f t="shared" si="34"/>
        <v>0</v>
      </c>
      <c r="J578" s="792"/>
      <c r="K578" s="812"/>
      <c r="L578" s="796"/>
      <c r="M578" s="812"/>
      <c r="N578" s="796"/>
      <c r="O578" s="796"/>
    </row>
    <row r="579" spans="3:15">
      <c r="C579" s="788">
        <f>IF(D545="","-",+C578+1)</f>
        <v>2041</v>
      </c>
      <c r="D579" s="736">
        <f t="shared" si="30"/>
        <v>1565635.8857142879</v>
      </c>
      <c r="E579" s="789">
        <f t="shared" si="35"/>
        <v>195704.48571428572</v>
      </c>
      <c r="F579" s="736">
        <f t="shared" si="31"/>
        <v>1369931.4000000022</v>
      </c>
      <c r="G579" s="790">
        <f t="shared" si="32"/>
        <v>407804.84730104276</v>
      </c>
      <c r="H579" s="795">
        <f t="shared" si="33"/>
        <v>407804.84730104276</v>
      </c>
      <c r="I579" s="792">
        <f t="shared" si="34"/>
        <v>0</v>
      </c>
      <c r="J579" s="792"/>
      <c r="K579" s="812"/>
      <c r="L579" s="796"/>
      <c r="M579" s="812"/>
      <c r="N579" s="796"/>
      <c r="O579" s="796"/>
    </row>
    <row r="580" spans="3:15">
      <c r="C580" s="788">
        <f>IF(D545="","-",+C579+1)</f>
        <v>2042</v>
      </c>
      <c r="D580" s="736">
        <f t="shared" si="30"/>
        <v>1369931.4000000022</v>
      </c>
      <c r="E580" s="789">
        <f t="shared" si="35"/>
        <v>195704.48571428572</v>
      </c>
      <c r="F580" s="736">
        <f t="shared" si="31"/>
        <v>1174226.9142857166</v>
      </c>
      <c r="G580" s="794">
        <f t="shared" si="32"/>
        <v>379524.79908947519</v>
      </c>
      <c r="H580" s="795">
        <f t="shared" si="33"/>
        <v>379524.79908947519</v>
      </c>
      <c r="I580" s="792">
        <f t="shared" si="34"/>
        <v>0</v>
      </c>
      <c r="J580" s="792"/>
      <c r="K580" s="812"/>
      <c r="L580" s="796"/>
      <c r="M580" s="812"/>
      <c r="N580" s="796"/>
      <c r="O580" s="796"/>
    </row>
    <row r="581" spans="3:15">
      <c r="C581" s="788">
        <f>IF(D545="","-",+C580+1)</f>
        <v>2043</v>
      </c>
      <c r="D581" s="736">
        <f t="shared" si="30"/>
        <v>1174226.9142857166</v>
      </c>
      <c r="E581" s="789">
        <f t="shared" si="35"/>
        <v>195704.48571428572</v>
      </c>
      <c r="F581" s="736">
        <f t="shared" si="31"/>
        <v>978522.42857143085</v>
      </c>
      <c r="G581" s="794">
        <f t="shared" si="32"/>
        <v>351244.75087790762</v>
      </c>
      <c r="H581" s="795">
        <f t="shared" si="33"/>
        <v>351244.75087790762</v>
      </c>
      <c r="I581" s="792">
        <f t="shared" si="34"/>
        <v>0</v>
      </c>
      <c r="J581" s="792"/>
      <c r="K581" s="812"/>
      <c r="L581" s="796"/>
      <c r="M581" s="812"/>
      <c r="N581" s="796"/>
      <c r="O581" s="796"/>
    </row>
    <row r="582" spans="3:15">
      <c r="C582" s="788">
        <f>IF(D545="","-",+C581+1)</f>
        <v>2044</v>
      </c>
      <c r="D582" s="736">
        <f t="shared" si="30"/>
        <v>978522.42857143085</v>
      </c>
      <c r="E582" s="789">
        <f t="shared" si="35"/>
        <v>195704.48571428572</v>
      </c>
      <c r="F582" s="736">
        <f t="shared" si="31"/>
        <v>782817.9428571451</v>
      </c>
      <c r="G582" s="794">
        <f t="shared" si="32"/>
        <v>322964.70266634005</v>
      </c>
      <c r="H582" s="795">
        <f t="shared" si="33"/>
        <v>322964.70266634005</v>
      </c>
      <c r="I582" s="792">
        <f t="shared" si="34"/>
        <v>0</v>
      </c>
      <c r="J582" s="792"/>
      <c r="K582" s="812"/>
      <c r="L582" s="796"/>
      <c r="M582" s="812"/>
      <c r="N582" s="796"/>
      <c r="O582" s="796"/>
    </row>
    <row r="583" spans="3:15">
      <c r="C583" s="788">
        <f>IF(D545="","-",+C582+1)</f>
        <v>2045</v>
      </c>
      <c r="D583" s="736">
        <f t="shared" si="30"/>
        <v>782817.9428571451</v>
      </c>
      <c r="E583" s="789">
        <f t="shared" si="35"/>
        <v>195704.48571428572</v>
      </c>
      <c r="F583" s="736">
        <f t="shared" si="31"/>
        <v>587113.45714285935</v>
      </c>
      <c r="G583" s="794">
        <f t="shared" si="32"/>
        <v>294684.65445477254</v>
      </c>
      <c r="H583" s="795">
        <f t="shared" si="33"/>
        <v>294684.65445477254</v>
      </c>
      <c r="I583" s="792">
        <f t="shared" si="34"/>
        <v>0</v>
      </c>
      <c r="J583" s="792"/>
      <c r="K583" s="812"/>
      <c r="L583" s="796"/>
      <c r="M583" s="812"/>
      <c r="N583" s="796"/>
      <c r="O583" s="796"/>
    </row>
    <row r="584" spans="3:15">
      <c r="C584" s="788">
        <f>IF(D545="","-",+C583+1)</f>
        <v>2046</v>
      </c>
      <c r="D584" s="736">
        <f t="shared" si="30"/>
        <v>587113.45714285935</v>
      </c>
      <c r="E584" s="789">
        <f t="shared" si="35"/>
        <v>195704.48571428572</v>
      </c>
      <c r="F584" s="736">
        <f t="shared" si="31"/>
        <v>391408.9714285736</v>
      </c>
      <c r="G584" s="794">
        <f t="shared" si="32"/>
        <v>266404.60624320491</v>
      </c>
      <c r="H584" s="795">
        <f t="shared" si="33"/>
        <v>266404.60624320491</v>
      </c>
      <c r="I584" s="792">
        <f t="shared" si="34"/>
        <v>0</v>
      </c>
      <c r="J584" s="792"/>
      <c r="K584" s="812"/>
      <c r="L584" s="796"/>
      <c r="M584" s="812"/>
      <c r="N584" s="796"/>
      <c r="O584" s="796"/>
    </row>
    <row r="585" spans="3:15">
      <c r="C585" s="788">
        <f>IF(D545="","-",+C584+1)</f>
        <v>2047</v>
      </c>
      <c r="D585" s="736">
        <f t="shared" si="30"/>
        <v>391408.9714285736</v>
      </c>
      <c r="E585" s="789">
        <f t="shared" si="35"/>
        <v>195704.48571428572</v>
      </c>
      <c r="F585" s="736">
        <f t="shared" si="31"/>
        <v>195704.48571428788</v>
      </c>
      <c r="G585" s="794">
        <f t="shared" si="32"/>
        <v>238124.55803163737</v>
      </c>
      <c r="H585" s="795">
        <f t="shared" si="33"/>
        <v>238124.55803163737</v>
      </c>
      <c r="I585" s="792">
        <f t="shared" si="34"/>
        <v>0</v>
      </c>
      <c r="J585" s="792"/>
      <c r="K585" s="812"/>
      <c r="L585" s="796"/>
      <c r="M585" s="812"/>
      <c r="N585" s="796"/>
      <c r="O585" s="796"/>
    </row>
    <row r="586" spans="3:15">
      <c r="C586" s="788">
        <f>IF(D545="","-",+C585+1)</f>
        <v>2048</v>
      </c>
      <c r="D586" s="736">
        <f t="shared" si="30"/>
        <v>195704.48571428788</v>
      </c>
      <c r="E586" s="789">
        <f t="shared" si="35"/>
        <v>195704.48571428572</v>
      </c>
      <c r="F586" s="736">
        <f t="shared" si="31"/>
        <v>2.1536834537982941E-9</v>
      </c>
      <c r="G586" s="794">
        <f t="shared" si="32"/>
        <v>209844.50982006983</v>
      </c>
      <c r="H586" s="795">
        <f t="shared" si="33"/>
        <v>209844.50982006983</v>
      </c>
      <c r="I586" s="792">
        <f t="shared" si="34"/>
        <v>0</v>
      </c>
      <c r="J586" s="792"/>
      <c r="K586" s="812"/>
      <c r="L586" s="796"/>
      <c r="M586" s="812"/>
      <c r="N586" s="796"/>
      <c r="O586" s="796"/>
    </row>
    <row r="587" spans="3:15">
      <c r="C587" s="788">
        <f>IF(D545="","-",+C586+1)</f>
        <v>2049</v>
      </c>
      <c r="D587" s="736">
        <f t="shared" si="30"/>
        <v>2.1536834537982941E-9</v>
      </c>
      <c r="E587" s="789">
        <f t="shared" si="35"/>
        <v>2.1536834537982941E-9</v>
      </c>
      <c r="F587" s="736">
        <f t="shared" si="31"/>
        <v>0</v>
      </c>
      <c r="G587" s="794">
        <f t="shared" si="32"/>
        <v>2.3092912102673764E-9</v>
      </c>
      <c r="H587" s="795">
        <f t="shared" si="33"/>
        <v>2.3092912102673764E-9</v>
      </c>
      <c r="I587" s="792">
        <f t="shared" si="34"/>
        <v>0</v>
      </c>
      <c r="J587" s="792"/>
      <c r="K587" s="812"/>
      <c r="L587" s="796"/>
      <c r="M587" s="812"/>
      <c r="N587" s="796"/>
      <c r="O587" s="796"/>
    </row>
    <row r="588" spans="3:15">
      <c r="C588" s="788">
        <f>IF(D545="","-",+C587+1)</f>
        <v>2050</v>
      </c>
      <c r="D588" s="736">
        <f t="shared" si="30"/>
        <v>0</v>
      </c>
      <c r="E588" s="789">
        <f t="shared" si="35"/>
        <v>0</v>
      </c>
      <c r="F588" s="736">
        <f t="shared" si="31"/>
        <v>0</v>
      </c>
      <c r="G588" s="794">
        <f t="shared" si="32"/>
        <v>0</v>
      </c>
      <c r="H588" s="795">
        <f t="shared" si="33"/>
        <v>0</v>
      </c>
      <c r="I588" s="792">
        <f t="shared" si="34"/>
        <v>0</v>
      </c>
      <c r="J588" s="792"/>
      <c r="K588" s="812"/>
      <c r="L588" s="796"/>
      <c r="M588" s="812"/>
      <c r="N588" s="796"/>
      <c r="O588" s="796"/>
    </row>
    <row r="589" spans="3:15">
      <c r="C589" s="788">
        <f>IF(D545="","-",+C588+1)</f>
        <v>2051</v>
      </c>
      <c r="D589" s="736">
        <f t="shared" si="30"/>
        <v>0</v>
      </c>
      <c r="E589" s="789">
        <f t="shared" si="35"/>
        <v>0</v>
      </c>
      <c r="F589" s="736">
        <f t="shared" si="31"/>
        <v>0</v>
      </c>
      <c r="G589" s="794">
        <f t="shared" si="32"/>
        <v>0</v>
      </c>
      <c r="H589" s="795">
        <f t="shared" si="33"/>
        <v>0</v>
      </c>
      <c r="I589" s="792">
        <f t="shared" si="34"/>
        <v>0</v>
      </c>
      <c r="J589" s="792"/>
      <c r="K589" s="812"/>
      <c r="L589" s="796"/>
      <c r="M589" s="812"/>
      <c r="N589" s="796"/>
      <c r="O589" s="796"/>
    </row>
    <row r="590" spans="3:15">
      <c r="C590" s="788">
        <f>IF(D545="","-",+C589+1)</f>
        <v>2052</v>
      </c>
      <c r="D590" s="736">
        <f t="shared" si="30"/>
        <v>0</v>
      </c>
      <c r="E590" s="789">
        <f t="shared" si="35"/>
        <v>0</v>
      </c>
      <c r="F590" s="736">
        <f t="shared" si="31"/>
        <v>0</v>
      </c>
      <c r="G590" s="794">
        <f t="shared" si="32"/>
        <v>0</v>
      </c>
      <c r="H590" s="795">
        <f t="shared" si="33"/>
        <v>0</v>
      </c>
      <c r="I590" s="792">
        <f t="shared" si="34"/>
        <v>0</v>
      </c>
      <c r="J590" s="792"/>
      <c r="K590" s="812"/>
      <c r="L590" s="796"/>
      <c r="M590" s="812"/>
      <c r="N590" s="796"/>
      <c r="O590" s="796"/>
    </row>
    <row r="591" spans="3:15">
      <c r="C591" s="788">
        <f>IF(D545="","-",+C590+1)</f>
        <v>2053</v>
      </c>
      <c r="D591" s="736">
        <f t="shared" si="30"/>
        <v>0</v>
      </c>
      <c r="E591" s="789">
        <f t="shared" si="35"/>
        <v>0</v>
      </c>
      <c r="F591" s="736">
        <f t="shared" si="31"/>
        <v>0</v>
      </c>
      <c r="G591" s="794">
        <f t="shared" si="32"/>
        <v>0</v>
      </c>
      <c r="H591" s="795">
        <f t="shared" si="33"/>
        <v>0</v>
      </c>
      <c r="I591" s="792">
        <f t="shared" si="34"/>
        <v>0</v>
      </c>
      <c r="J591" s="792"/>
      <c r="K591" s="812"/>
      <c r="L591" s="796"/>
      <c r="M591" s="812"/>
      <c r="N591" s="796"/>
      <c r="O591" s="796"/>
    </row>
    <row r="592" spans="3:15">
      <c r="C592" s="788">
        <f>IF(D545="","-",+C591+1)</f>
        <v>2054</v>
      </c>
      <c r="D592" s="736">
        <f t="shared" si="30"/>
        <v>0</v>
      </c>
      <c r="E592" s="789">
        <f t="shared" si="35"/>
        <v>0</v>
      </c>
      <c r="F592" s="736">
        <f t="shared" si="31"/>
        <v>0</v>
      </c>
      <c r="G592" s="794">
        <f t="shared" si="32"/>
        <v>0</v>
      </c>
      <c r="H592" s="795">
        <f t="shared" si="33"/>
        <v>0</v>
      </c>
      <c r="I592" s="792">
        <f t="shared" si="34"/>
        <v>0</v>
      </c>
      <c r="J592" s="792"/>
      <c r="K592" s="812"/>
      <c r="L592" s="796"/>
      <c r="M592" s="812"/>
      <c r="N592" s="796"/>
      <c r="O592" s="796"/>
    </row>
    <row r="593" spans="3:15">
      <c r="C593" s="788">
        <f>IF(D545="","-",+C592+1)</f>
        <v>2055</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2056</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2057</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2058</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2059</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2060</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2061</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2062</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2063</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2064</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2065</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2066</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2067</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2068</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2069</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2070</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2071</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2072</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83</v>
      </c>
      <c r="D611" s="730"/>
      <c r="E611" s="730">
        <f>SUM(E551:E610)</f>
        <v>6849657</v>
      </c>
      <c r="F611" s="730"/>
      <c r="G611" s="730">
        <f>SUM(G551:G610)</f>
        <v>25160988.216990009</v>
      </c>
      <c r="H611" s="730">
        <f>SUM(H551:H610)</f>
        <v>25160988.216990009</v>
      </c>
      <c r="I611" s="730">
        <f>SUM(I551:I610)</f>
        <v>0</v>
      </c>
      <c r="J611" s="730"/>
      <c r="K611" s="730"/>
      <c r="L611" s="730"/>
      <c r="M611" s="730"/>
      <c r="N611" s="730"/>
      <c r="O611" s="313"/>
    </row>
    <row r="612" spans="1:16">
      <c r="D612" s="538"/>
      <c r="E612" s="313"/>
      <c r="F612" s="313"/>
      <c r="G612" s="313"/>
      <c r="H612" s="708"/>
      <c r="I612" s="708"/>
      <c r="J612" s="730"/>
      <c r="K612" s="708"/>
      <c r="L612" s="708"/>
      <c r="M612" s="708"/>
      <c r="N612" s="708"/>
      <c r="O612" s="313"/>
    </row>
    <row r="613" spans="1:16">
      <c r="C613" s="313" t="s">
        <v>13</v>
      </c>
      <c r="D613" s="538"/>
      <c r="E613" s="313"/>
      <c r="F613" s="313"/>
      <c r="G613" s="313"/>
      <c r="H613" s="708"/>
      <c r="I613" s="708"/>
      <c r="J613" s="730"/>
      <c r="K613" s="708"/>
      <c r="L613" s="708"/>
      <c r="M613" s="708"/>
      <c r="N613" s="708"/>
      <c r="O613" s="313"/>
    </row>
    <row r="614" spans="1:16">
      <c r="C614" s="313"/>
      <c r="D614" s="538"/>
      <c r="E614" s="313"/>
      <c r="F614" s="313"/>
      <c r="G614" s="313"/>
      <c r="H614" s="708"/>
      <c r="I614" s="708"/>
      <c r="J614" s="730"/>
      <c r="K614" s="708"/>
      <c r="L614" s="708"/>
      <c r="M614" s="708"/>
      <c r="N614" s="708"/>
      <c r="O614" s="313"/>
    </row>
    <row r="615" spans="1:16">
      <c r="C615" s="749" t="s">
        <v>14</v>
      </c>
      <c r="D615" s="736"/>
      <c r="E615" s="736"/>
      <c r="F615" s="736"/>
      <c r="G615" s="730"/>
      <c r="H615" s="730"/>
      <c r="I615" s="804"/>
      <c r="J615" s="804"/>
      <c r="K615" s="804"/>
      <c r="L615" s="804"/>
      <c r="M615" s="804"/>
      <c r="N615" s="804"/>
      <c r="O615" s="313"/>
    </row>
    <row r="616" spans="1:16">
      <c r="C616" s="735" t="s">
        <v>263</v>
      </c>
      <c r="D616" s="736"/>
      <c r="E616" s="736"/>
      <c r="F616" s="736"/>
      <c r="G616" s="730"/>
      <c r="H616" s="730"/>
      <c r="I616" s="804"/>
      <c r="J616" s="804"/>
      <c r="K616" s="804"/>
      <c r="L616" s="804"/>
      <c r="M616" s="804"/>
      <c r="N616" s="804"/>
      <c r="O616" s="313"/>
    </row>
    <row r="617" spans="1:16">
      <c r="C617" s="735" t="s">
        <v>84</v>
      </c>
      <c r="D617" s="736"/>
      <c r="E617" s="736"/>
      <c r="F617" s="736"/>
      <c r="G617" s="730"/>
      <c r="H617" s="730"/>
      <c r="I617" s="804"/>
      <c r="J617" s="804"/>
      <c r="K617" s="804"/>
      <c r="L617" s="804"/>
      <c r="M617" s="804"/>
      <c r="N617" s="804"/>
      <c r="O617" s="313"/>
    </row>
    <row r="618" spans="1:16">
      <c r="C618" s="735"/>
      <c r="D618" s="736"/>
      <c r="E618" s="736"/>
      <c r="F618" s="736"/>
      <c r="G618" s="730"/>
      <c r="H618" s="730"/>
      <c r="I618" s="804"/>
      <c r="J618" s="804"/>
      <c r="K618" s="804"/>
      <c r="L618" s="804"/>
      <c r="M618" s="804"/>
      <c r="N618" s="804"/>
      <c r="O618" s="313"/>
    </row>
    <row r="619" spans="1:16">
      <c r="C619" s="1547" t="s">
        <v>6</v>
      </c>
      <c r="D619" s="1547"/>
      <c r="E619" s="1547"/>
      <c r="F619" s="1547"/>
      <c r="G619" s="1547"/>
      <c r="H619" s="1547"/>
      <c r="I619" s="1547"/>
      <c r="J619" s="1547"/>
      <c r="K619" s="1547"/>
      <c r="L619" s="1547"/>
      <c r="M619" s="1547"/>
      <c r="N619" s="1547"/>
      <c r="O619" s="1547"/>
    </row>
    <row r="620" spans="1:16">
      <c r="C620" s="1547"/>
      <c r="D620" s="1547"/>
      <c r="E620" s="1547"/>
      <c r="F620" s="1547"/>
      <c r="G620" s="1547"/>
      <c r="H620" s="1547"/>
      <c r="I620" s="1547"/>
      <c r="J620" s="1547"/>
      <c r="K620" s="1547"/>
      <c r="L620" s="1547"/>
      <c r="M620" s="1547"/>
      <c r="N620" s="1547"/>
      <c r="O620" s="1547"/>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7"/>
      <c r="C622" s="725"/>
      <c r="D622" s="538"/>
      <c r="E622" s="313"/>
      <c r="F622" s="707"/>
      <c r="G622" s="313"/>
      <c r="H622" s="708"/>
      <c r="K622" s="564"/>
      <c r="L622" s="564"/>
      <c r="M622" s="564"/>
      <c r="N622" s="653" t="str">
        <f>"Page "&amp;SUM(P$8:P622)&amp;" of "</f>
        <v xml:space="preserve">Page 8 of </v>
      </c>
      <c r="O622" s="654">
        <f>COUNT(P$8:P$56653)</f>
        <v>23</v>
      </c>
      <c r="P622" s="172">
        <v>1</v>
      </c>
    </row>
    <row r="623" spans="1:16">
      <c r="B623" s="347"/>
      <c r="C623" s="313"/>
      <c r="D623" s="538"/>
      <c r="E623" s="313"/>
      <c r="F623" s="313"/>
      <c r="G623" s="313"/>
      <c r="H623" s="708"/>
      <c r="I623" s="313"/>
      <c r="J623" s="426"/>
      <c r="K623" s="313"/>
      <c r="L623" s="313"/>
      <c r="M623" s="313"/>
      <c r="N623" s="313"/>
      <c r="O623" s="313"/>
    </row>
    <row r="624" spans="1:16" ht="18">
      <c r="B624" s="657" t="s">
        <v>466</v>
      </c>
      <c r="C624" s="739" t="s">
        <v>85</v>
      </c>
      <c r="D624" s="538"/>
      <c r="E624" s="313"/>
      <c r="F624" s="313"/>
      <c r="G624" s="313"/>
      <c r="H624" s="708"/>
      <c r="I624" s="708"/>
      <c r="J624" s="730"/>
      <c r="K624" s="708"/>
      <c r="L624" s="708"/>
      <c r="M624" s="708"/>
      <c r="N624" s="708"/>
      <c r="O624" s="313"/>
    </row>
    <row r="625" spans="2:15" ht="18.75">
      <c r="B625" s="657"/>
      <c r="C625" s="656"/>
      <c r="D625" s="538"/>
      <c r="E625" s="313"/>
      <c r="F625" s="313"/>
      <c r="G625" s="313"/>
      <c r="H625" s="708"/>
      <c r="I625" s="708"/>
      <c r="J625" s="730"/>
      <c r="K625" s="708"/>
      <c r="L625" s="708"/>
      <c r="M625" s="708"/>
      <c r="N625" s="708"/>
      <c r="O625" s="313"/>
    </row>
    <row r="626" spans="2:15" ht="18.75">
      <c r="B626" s="657"/>
      <c r="C626" s="656" t="s">
        <v>86</v>
      </c>
      <c r="D626" s="538"/>
      <c r="E626" s="313"/>
      <c r="F626" s="313"/>
      <c r="G626" s="313"/>
      <c r="H626" s="708"/>
      <c r="I626" s="708"/>
      <c r="J626" s="730"/>
      <c r="K626" s="708"/>
      <c r="L626" s="708"/>
      <c r="M626" s="708"/>
      <c r="N626" s="708"/>
      <c r="O626" s="313"/>
    </row>
    <row r="627" spans="2:15" ht="15.75" thickBot="1">
      <c r="C627" s="239"/>
      <c r="D627" s="538"/>
      <c r="E627" s="313"/>
      <c r="F627" s="313"/>
      <c r="G627" s="313"/>
      <c r="H627" s="708"/>
      <c r="I627" s="708"/>
      <c r="J627" s="730"/>
      <c r="K627" s="708"/>
      <c r="L627" s="708"/>
      <c r="M627" s="708"/>
      <c r="N627" s="708"/>
      <c r="O627" s="313"/>
    </row>
    <row r="628" spans="2:15" ht="15.75">
      <c r="C628" s="659" t="s">
        <v>87</v>
      </c>
      <c r="D628" s="538"/>
      <c r="E628" s="313"/>
      <c r="F628" s="313"/>
      <c r="G628" s="806"/>
      <c r="H628" s="313" t="s">
        <v>66</v>
      </c>
      <c r="I628" s="313"/>
      <c r="J628" s="426"/>
      <c r="K628" s="740" t="s">
        <v>91</v>
      </c>
      <c r="L628" s="741"/>
      <c r="M628" s="742"/>
      <c r="N628" s="743">
        <f>IF(I634=0,0,VLOOKUP(I634,C641:O700,5))</f>
        <v>1662235.2718929723</v>
      </c>
      <c r="O628" s="313"/>
    </row>
    <row r="629" spans="2:15" ht="15.75">
      <c r="C629" s="659"/>
      <c r="D629" s="538"/>
      <c r="E629" s="313"/>
      <c r="F629" s="313"/>
      <c r="G629" s="313"/>
      <c r="H629" s="744"/>
      <c r="I629" s="744"/>
      <c r="J629" s="745"/>
      <c r="K629" s="746" t="s">
        <v>92</v>
      </c>
      <c r="L629" s="747"/>
      <c r="M629" s="426"/>
      <c r="N629" s="748">
        <f>IF(I634=0,0,VLOOKUP(I634,C641:O700,6))</f>
        <v>1662235.2718929723</v>
      </c>
      <c r="O629" s="313"/>
    </row>
    <row r="630" spans="2:15" ht="13.5" customHeight="1" thickBot="1">
      <c r="C630" s="749" t="s">
        <v>88</v>
      </c>
      <c r="D630" s="1537" t="s">
        <v>814</v>
      </c>
      <c r="E630" s="1537"/>
      <c r="F630" s="1537"/>
      <c r="G630" s="1537"/>
      <c r="H630" s="1537"/>
      <c r="I630" s="1537"/>
      <c r="J630" s="730"/>
      <c r="K630" s="750" t="s">
        <v>230</v>
      </c>
      <c r="L630" s="751"/>
      <c r="M630" s="751"/>
      <c r="N630" s="752">
        <f>+N629-N628</f>
        <v>0</v>
      </c>
      <c r="O630" s="313"/>
    </row>
    <row r="631" spans="2:15">
      <c r="C631" s="753"/>
      <c r="D631" s="1537"/>
      <c r="E631" s="1537"/>
      <c r="F631" s="1537"/>
      <c r="G631" s="1537"/>
      <c r="H631" s="1537"/>
      <c r="I631" s="1537"/>
      <c r="J631" s="730"/>
      <c r="K631" s="708"/>
      <c r="L631" s="708"/>
      <c r="M631" s="708"/>
      <c r="N631" s="708"/>
      <c r="O631" s="313"/>
    </row>
    <row r="632" spans="2:15" ht="13.5" thickBot="1">
      <c r="C632" s="756"/>
      <c r="D632" s="757"/>
      <c r="E632" s="755"/>
      <c r="F632" s="755"/>
      <c r="G632" s="755"/>
      <c r="H632" s="755"/>
      <c r="I632" s="755"/>
      <c r="J632" s="758"/>
      <c r="K632" s="755"/>
      <c r="L632" s="755"/>
      <c r="M632" s="755"/>
      <c r="N632" s="755"/>
      <c r="O632" s="347"/>
    </row>
    <row r="633" spans="2:15" ht="13.5" thickBot="1">
      <c r="C633" s="759" t="s">
        <v>89</v>
      </c>
      <c r="D633" s="760"/>
      <c r="E633" s="760"/>
      <c r="F633" s="760"/>
      <c r="G633" s="760"/>
      <c r="H633" s="760"/>
      <c r="I633" s="761"/>
      <c r="J633" s="762"/>
      <c r="K633" s="313"/>
      <c r="L633" s="313"/>
      <c r="M633" s="313"/>
      <c r="N633" s="313"/>
      <c r="O633" s="763"/>
    </row>
    <row r="634" spans="2:15" ht="15">
      <c r="C634" s="764" t="s">
        <v>67</v>
      </c>
      <c r="D634" s="808">
        <v>11869225</v>
      </c>
      <c r="E634" s="725" t="s">
        <v>68</v>
      </c>
      <c r="G634" s="765"/>
      <c r="H634" s="765"/>
      <c r="I634" s="766">
        <f>$L$26</f>
        <v>2023</v>
      </c>
      <c r="J634" s="554"/>
      <c r="K634" s="1536" t="s">
        <v>239</v>
      </c>
      <c r="L634" s="1536"/>
      <c r="M634" s="1536"/>
      <c r="N634" s="1536"/>
      <c r="O634" s="1536"/>
    </row>
    <row r="635" spans="2:15">
      <c r="C635" s="764" t="s">
        <v>70</v>
      </c>
      <c r="D635" s="809">
        <v>2015</v>
      </c>
      <c r="E635" s="764" t="s">
        <v>71</v>
      </c>
      <c r="F635" s="765"/>
      <c r="H635" s="172"/>
      <c r="I635" s="810">
        <f>IF(G628="",0,$F$17)</f>
        <v>0</v>
      </c>
      <c r="J635" s="767"/>
      <c r="K635" s="730" t="s">
        <v>239</v>
      </c>
    </row>
    <row r="636" spans="2:15">
      <c r="C636" s="764" t="s">
        <v>72</v>
      </c>
      <c r="D636" s="808">
        <v>6</v>
      </c>
      <c r="E636" s="764" t="s">
        <v>73</v>
      </c>
      <c r="F636" s="765"/>
      <c r="H636" s="172"/>
      <c r="I636" s="768">
        <f>$G$70</f>
        <v>0.14450383244078713</v>
      </c>
      <c r="J636" s="769"/>
      <c r="K636" s="172" t="str">
        <f>"          INPUT PROJECTED ARR (WITH &amp; WITHOUT INCENTIVES) FROM EACH PRIOR YEAR"</f>
        <v xml:space="preserve">          INPUT PROJECTED ARR (WITH &amp; WITHOUT INCENTIVES) FROM EACH PRIOR YEAR</v>
      </c>
    </row>
    <row r="637" spans="2:15">
      <c r="C637" s="764" t="s">
        <v>74</v>
      </c>
      <c r="D637" s="770">
        <f>$G$79</f>
        <v>35</v>
      </c>
      <c r="E637" s="764" t="s">
        <v>75</v>
      </c>
      <c r="F637" s="765"/>
      <c r="H637" s="172"/>
      <c r="I637" s="768">
        <f>IF(G628="",I636,$G$69)</f>
        <v>0.14450383244078713</v>
      </c>
      <c r="J637" s="771"/>
      <c r="K637" s="172" t="s">
        <v>152</v>
      </c>
    </row>
    <row r="638" spans="2:15" ht="13.5" thickBot="1">
      <c r="C638" s="764" t="s">
        <v>76</v>
      </c>
      <c r="D638" s="807" t="s">
        <v>808</v>
      </c>
      <c r="E638" s="772" t="s">
        <v>77</v>
      </c>
      <c r="F638" s="773"/>
      <c r="G638" s="774"/>
      <c r="H638" s="774"/>
      <c r="I638" s="752">
        <f>IF(D634=0,0,D634/D637)</f>
        <v>339120.71428571426</v>
      </c>
      <c r="J638" s="730"/>
      <c r="K638" s="730" t="s">
        <v>158</v>
      </c>
      <c r="L638" s="730"/>
      <c r="M638" s="730"/>
      <c r="N638" s="730"/>
      <c r="O638" s="426"/>
    </row>
    <row r="639" spans="2:15" ht="38.25">
      <c r="B639" s="845"/>
      <c r="C639" s="775" t="s">
        <v>67</v>
      </c>
      <c r="D639" s="776" t="s">
        <v>78</v>
      </c>
      <c r="E639" s="777" t="s">
        <v>79</v>
      </c>
      <c r="F639" s="776" t="s">
        <v>80</v>
      </c>
      <c r="G639" s="777" t="s">
        <v>151</v>
      </c>
      <c r="H639" s="778" t="s">
        <v>151</v>
      </c>
      <c r="I639" s="775" t="s">
        <v>90</v>
      </c>
      <c r="J639" s="779"/>
      <c r="K639" s="777" t="s">
        <v>160</v>
      </c>
      <c r="L639" s="780"/>
      <c r="M639" s="777" t="s">
        <v>160</v>
      </c>
      <c r="N639" s="780"/>
      <c r="O639" s="780"/>
    </row>
    <row r="640" spans="2:15" ht="13.5" thickBot="1">
      <c r="C640" s="781" t="s">
        <v>469</v>
      </c>
      <c r="D640" s="782" t="s">
        <v>470</v>
      </c>
      <c r="E640" s="781" t="s">
        <v>363</v>
      </c>
      <c r="F640" s="782" t="s">
        <v>470</v>
      </c>
      <c r="G640" s="783" t="s">
        <v>93</v>
      </c>
      <c r="H640" s="784" t="s">
        <v>95</v>
      </c>
      <c r="I640" s="785" t="s">
        <v>15</v>
      </c>
      <c r="J640" s="786"/>
      <c r="K640" s="783" t="s">
        <v>82</v>
      </c>
      <c r="L640" s="787"/>
      <c r="M640" s="783" t="s">
        <v>95</v>
      </c>
      <c r="N640" s="787"/>
      <c r="O640" s="787"/>
    </row>
    <row r="641" spans="3:15">
      <c r="C641" s="788">
        <f>IF(D635= "","-",D635)</f>
        <v>2015</v>
      </c>
      <c r="D641" s="736">
        <f>+D634</f>
        <v>11869225</v>
      </c>
      <c r="E641" s="789">
        <f>+I638/12*(12-D636)</f>
        <v>169560.35714285713</v>
      </c>
      <c r="F641" s="736">
        <f>+D641-E641</f>
        <v>11699664.642857144</v>
      </c>
      <c r="G641" s="985">
        <f>+$I$96*((D641+F641)/2)+E641</f>
        <v>1872457.7970262729</v>
      </c>
      <c r="H641" s="986">
        <f>$I$97*((D641+F641)/2)+E641</f>
        <v>1872457.7970262729</v>
      </c>
      <c r="I641" s="792">
        <f>+H641-G641</f>
        <v>0</v>
      </c>
      <c r="J641" s="792"/>
      <c r="K641" s="811">
        <v>962431</v>
      </c>
      <c r="L641" s="793"/>
      <c r="M641" s="811">
        <v>962431</v>
      </c>
      <c r="N641" s="793"/>
      <c r="O641" s="793"/>
    </row>
    <row r="642" spans="3:15">
      <c r="C642" s="788">
        <f>IF(D635="","-",+C641+1)</f>
        <v>2016</v>
      </c>
      <c r="D642" s="736">
        <f t="shared" ref="D642:D700" si="36">F641</f>
        <v>11699664.642857144</v>
      </c>
      <c r="E642" s="789">
        <f>IF(D642&gt;$I$638,$I$638,D642)</f>
        <v>339120.71428571426</v>
      </c>
      <c r="F642" s="736">
        <f t="shared" ref="F642:F700" si="37">+D642-E642</f>
        <v>11360543.928571429</v>
      </c>
      <c r="G642" s="794">
        <f t="shared" ref="G642:G700" si="38">+$I$96*((D642+F642)/2)+E642</f>
        <v>2005264.9720133732</v>
      </c>
      <c r="H642" s="795">
        <f t="shared" ref="H642:H700" si="39">$I$97*((D642+F642)/2)+E642</f>
        <v>2005264.9720133732</v>
      </c>
      <c r="I642" s="792">
        <f t="shared" ref="I642:I700" si="40">+H642-G642</f>
        <v>0</v>
      </c>
      <c r="J642" s="792"/>
      <c r="K642" s="812">
        <v>7321581</v>
      </c>
      <c r="L642" s="796"/>
      <c r="M642" s="812">
        <v>7321581</v>
      </c>
      <c r="N642" s="796"/>
      <c r="O642" s="796"/>
    </row>
    <row r="643" spans="3:15">
      <c r="C643" s="788">
        <f>IF(D635="","-",+C642+1)</f>
        <v>2017</v>
      </c>
      <c r="D643" s="736">
        <f t="shared" si="36"/>
        <v>11360543.928571429</v>
      </c>
      <c r="E643" s="789">
        <f t="shared" ref="E643:E700" si="41">IF(D643&gt;$I$638,$I$638,D643)</f>
        <v>339120.71428571426</v>
      </c>
      <c r="F643" s="736">
        <f t="shared" si="37"/>
        <v>11021423.214285715</v>
      </c>
      <c r="G643" s="794">
        <f t="shared" si="38"/>
        <v>1956260.72913903</v>
      </c>
      <c r="H643" s="795">
        <f t="shared" si="39"/>
        <v>1956260.72913903</v>
      </c>
      <c r="I643" s="792">
        <f t="shared" si="40"/>
        <v>0</v>
      </c>
      <c r="J643" s="792"/>
      <c r="K643" s="812">
        <v>4892362</v>
      </c>
      <c r="L643" s="796"/>
      <c r="M643" s="812">
        <v>4892362</v>
      </c>
      <c r="N643" s="796"/>
      <c r="O643" s="796"/>
    </row>
    <row r="644" spans="3:15">
      <c r="C644" s="1312">
        <f>IF(D635="","-",+C643+1)</f>
        <v>2018</v>
      </c>
      <c r="D644" s="736">
        <f t="shared" si="36"/>
        <v>11021423.214285715</v>
      </c>
      <c r="E644" s="789">
        <f t="shared" si="41"/>
        <v>339120.71428571426</v>
      </c>
      <c r="F644" s="736">
        <f t="shared" si="37"/>
        <v>10682302.5</v>
      </c>
      <c r="G644" s="794">
        <f t="shared" si="38"/>
        <v>1907256.4862646873</v>
      </c>
      <c r="H644" s="795">
        <f t="shared" si="39"/>
        <v>1907256.4862646873</v>
      </c>
      <c r="I644" s="792">
        <f t="shared" si="40"/>
        <v>0</v>
      </c>
      <c r="J644" s="792"/>
      <c r="K644" s="812">
        <v>3315908</v>
      </c>
      <c r="L644" s="796"/>
      <c r="M644" s="812">
        <v>3315908</v>
      </c>
      <c r="N644" s="796"/>
      <c r="O644" s="796"/>
    </row>
    <row r="645" spans="3:15">
      <c r="C645" s="1290">
        <f>IF(D635="","-",+C644+1)</f>
        <v>2019</v>
      </c>
      <c r="D645" s="736">
        <f t="shared" si="36"/>
        <v>10682302.5</v>
      </c>
      <c r="E645" s="789">
        <f t="shared" si="41"/>
        <v>339120.71428571426</v>
      </c>
      <c r="F645" s="736">
        <f t="shared" si="37"/>
        <v>10343181.785714285</v>
      </c>
      <c r="G645" s="794">
        <f t="shared" si="38"/>
        <v>1858252.2433903441</v>
      </c>
      <c r="H645" s="795">
        <f t="shared" si="39"/>
        <v>1858252.2433903441</v>
      </c>
      <c r="I645" s="792">
        <f t="shared" si="40"/>
        <v>0</v>
      </c>
      <c r="J645" s="792"/>
      <c r="K645" s="812"/>
      <c r="L645" s="796"/>
      <c r="M645" s="812"/>
      <c r="N645" s="796"/>
      <c r="O645" s="796"/>
    </row>
    <row r="646" spans="3:15">
      <c r="C646" s="788">
        <f>IF(D635="","-",+C645+1)</f>
        <v>2020</v>
      </c>
      <c r="D646" s="736">
        <f t="shared" si="36"/>
        <v>10343181.785714285</v>
      </c>
      <c r="E646" s="789">
        <f t="shared" si="41"/>
        <v>339120.71428571426</v>
      </c>
      <c r="F646" s="736">
        <f t="shared" si="37"/>
        <v>10004061.071428571</v>
      </c>
      <c r="G646" s="794">
        <f t="shared" si="38"/>
        <v>1809248.0005160014</v>
      </c>
      <c r="H646" s="795">
        <f t="shared" si="39"/>
        <v>1809248.0005160014</v>
      </c>
      <c r="I646" s="792">
        <f t="shared" si="40"/>
        <v>0</v>
      </c>
      <c r="J646" s="792"/>
      <c r="K646" s="812"/>
      <c r="L646" s="796"/>
      <c r="M646" s="812"/>
      <c r="N646" s="796"/>
      <c r="O646" s="796"/>
    </row>
    <row r="647" spans="3:15">
      <c r="C647" s="788">
        <f>IF(D635="","-",+C646+1)</f>
        <v>2021</v>
      </c>
      <c r="D647" s="736">
        <f t="shared" si="36"/>
        <v>10004061.071428571</v>
      </c>
      <c r="E647" s="789">
        <f t="shared" si="41"/>
        <v>339120.71428571426</v>
      </c>
      <c r="F647" s="736">
        <f t="shared" si="37"/>
        <v>9664940.3571428563</v>
      </c>
      <c r="G647" s="794">
        <f t="shared" si="38"/>
        <v>1760243.7576416582</v>
      </c>
      <c r="H647" s="795">
        <f t="shared" si="39"/>
        <v>1760243.7576416582</v>
      </c>
      <c r="I647" s="792">
        <f t="shared" si="40"/>
        <v>0</v>
      </c>
      <c r="J647" s="792"/>
      <c r="K647" s="812"/>
      <c r="L647" s="796"/>
      <c r="M647" s="812"/>
      <c r="N647" s="796"/>
      <c r="O647" s="796"/>
    </row>
    <row r="648" spans="3:15">
      <c r="C648" s="788">
        <f>IF(D635="","-",+C647+1)</f>
        <v>2022</v>
      </c>
      <c r="D648" s="736">
        <f t="shared" si="36"/>
        <v>9664940.3571428563</v>
      </c>
      <c r="E648" s="789">
        <f t="shared" si="41"/>
        <v>339120.71428571426</v>
      </c>
      <c r="F648" s="736">
        <f t="shared" si="37"/>
        <v>9325819.6428571418</v>
      </c>
      <c r="G648" s="794">
        <f t="shared" si="38"/>
        <v>1711239.5147673157</v>
      </c>
      <c r="H648" s="795">
        <f t="shared" si="39"/>
        <v>1711239.5147673157</v>
      </c>
      <c r="I648" s="792">
        <f t="shared" si="40"/>
        <v>0</v>
      </c>
      <c r="J648" s="792"/>
      <c r="K648" s="812"/>
      <c r="L648" s="796"/>
      <c r="M648" s="812"/>
      <c r="N648" s="796"/>
      <c r="O648" s="796"/>
    </row>
    <row r="649" spans="3:15">
      <c r="C649" s="788">
        <f>IF(D635="","-",+C648+1)</f>
        <v>2023</v>
      </c>
      <c r="D649" s="736">
        <f t="shared" si="36"/>
        <v>9325819.6428571418</v>
      </c>
      <c r="E649" s="789">
        <f t="shared" si="41"/>
        <v>339120.71428571426</v>
      </c>
      <c r="F649" s="736">
        <f t="shared" si="37"/>
        <v>8986698.9285714272</v>
      </c>
      <c r="G649" s="794">
        <f t="shared" si="38"/>
        <v>1662235.2718929723</v>
      </c>
      <c r="H649" s="795">
        <f t="shared" si="39"/>
        <v>1662235.2718929723</v>
      </c>
      <c r="I649" s="792">
        <f t="shared" si="40"/>
        <v>0</v>
      </c>
      <c r="J649" s="792"/>
      <c r="K649" s="812"/>
      <c r="L649" s="796"/>
      <c r="M649" s="812"/>
      <c r="N649" s="796"/>
      <c r="O649" s="796"/>
    </row>
    <row r="650" spans="3:15">
      <c r="C650" s="788">
        <f>IF(D635="","-",+C649+1)</f>
        <v>2024</v>
      </c>
      <c r="D650" s="736">
        <f t="shared" si="36"/>
        <v>8986698.9285714272</v>
      </c>
      <c r="E650" s="789">
        <f t="shared" si="41"/>
        <v>339120.71428571426</v>
      </c>
      <c r="F650" s="736">
        <f t="shared" si="37"/>
        <v>8647578.2142857127</v>
      </c>
      <c r="G650" s="794">
        <f t="shared" si="38"/>
        <v>1613231.0290186298</v>
      </c>
      <c r="H650" s="795">
        <f t="shared" si="39"/>
        <v>1613231.0290186298</v>
      </c>
      <c r="I650" s="792">
        <f t="shared" si="40"/>
        <v>0</v>
      </c>
      <c r="J650" s="792"/>
      <c r="K650" s="812"/>
      <c r="L650" s="796"/>
      <c r="M650" s="812"/>
      <c r="N650" s="796"/>
      <c r="O650" s="796"/>
    </row>
    <row r="651" spans="3:15">
      <c r="C651" s="788">
        <f>IF(D635="","-",+C650+1)</f>
        <v>2025</v>
      </c>
      <c r="D651" s="736">
        <f t="shared" si="36"/>
        <v>8647578.2142857127</v>
      </c>
      <c r="E651" s="789">
        <f t="shared" si="41"/>
        <v>339120.71428571426</v>
      </c>
      <c r="F651" s="736">
        <f t="shared" si="37"/>
        <v>8308457.4999999981</v>
      </c>
      <c r="G651" s="794">
        <f t="shared" si="38"/>
        <v>1564226.7861442864</v>
      </c>
      <c r="H651" s="795">
        <f t="shared" si="39"/>
        <v>1564226.7861442864</v>
      </c>
      <c r="I651" s="792">
        <f t="shared" si="40"/>
        <v>0</v>
      </c>
      <c r="J651" s="792"/>
      <c r="K651" s="812"/>
      <c r="L651" s="796"/>
      <c r="M651" s="812"/>
      <c r="N651" s="796"/>
      <c r="O651" s="796"/>
    </row>
    <row r="652" spans="3:15">
      <c r="C652" s="788">
        <f>IF(D635="","-",+C651+1)</f>
        <v>2026</v>
      </c>
      <c r="D652" s="736">
        <f t="shared" si="36"/>
        <v>8308457.4999999981</v>
      </c>
      <c r="E652" s="789">
        <f t="shared" si="41"/>
        <v>339120.71428571426</v>
      </c>
      <c r="F652" s="736">
        <f t="shared" si="37"/>
        <v>7969336.7857142836</v>
      </c>
      <c r="G652" s="794">
        <f t="shared" si="38"/>
        <v>1515222.5432699437</v>
      </c>
      <c r="H652" s="795">
        <f t="shared" si="39"/>
        <v>1515222.5432699437</v>
      </c>
      <c r="I652" s="792">
        <f t="shared" si="40"/>
        <v>0</v>
      </c>
      <c r="J652" s="792"/>
      <c r="K652" s="812"/>
      <c r="L652" s="796"/>
      <c r="M652" s="812"/>
      <c r="N652" s="796"/>
      <c r="O652" s="796"/>
    </row>
    <row r="653" spans="3:15">
      <c r="C653" s="788">
        <f>IF(D635="","-",+C652+1)</f>
        <v>2027</v>
      </c>
      <c r="D653" s="736">
        <f t="shared" si="36"/>
        <v>7969336.7857142836</v>
      </c>
      <c r="E653" s="789">
        <f t="shared" si="41"/>
        <v>339120.71428571426</v>
      </c>
      <c r="F653" s="736">
        <f t="shared" si="37"/>
        <v>7630216.071428569</v>
      </c>
      <c r="G653" s="794">
        <f t="shared" si="38"/>
        <v>1466218.3003956007</v>
      </c>
      <c r="H653" s="795">
        <f t="shared" si="39"/>
        <v>1466218.3003956007</v>
      </c>
      <c r="I653" s="792">
        <f t="shared" si="40"/>
        <v>0</v>
      </c>
      <c r="J653" s="792"/>
      <c r="K653" s="812"/>
      <c r="L653" s="796"/>
      <c r="M653" s="812"/>
      <c r="N653" s="797"/>
      <c r="O653" s="796"/>
    </row>
    <row r="654" spans="3:15">
      <c r="C654" s="788">
        <f>IF(D635="","-",+C653+1)</f>
        <v>2028</v>
      </c>
      <c r="D654" s="736">
        <f t="shared" si="36"/>
        <v>7630216.071428569</v>
      </c>
      <c r="E654" s="789">
        <f t="shared" si="41"/>
        <v>339120.71428571426</v>
      </c>
      <c r="F654" s="736">
        <f t="shared" si="37"/>
        <v>7291095.3571428545</v>
      </c>
      <c r="G654" s="794">
        <f t="shared" si="38"/>
        <v>1417214.0575212578</v>
      </c>
      <c r="H654" s="795">
        <f t="shared" si="39"/>
        <v>1417214.0575212578</v>
      </c>
      <c r="I654" s="792">
        <f t="shared" si="40"/>
        <v>0</v>
      </c>
      <c r="J654" s="792"/>
      <c r="K654" s="812"/>
      <c r="L654" s="796"/>
      <c r="M654" s="812"/>
      <c r="N654" s="796"/>
      <c r="O654" s="796"/>
    </row>
    <row r="655" spans="3:15">
      <c r="C655" s="788">
        <f>IF(D635="","-",+C654+1)</f>
        <v>2029</v>
      </c>
      <c r="D655" s="736">
        <f t="shared" si="36"/>
        <v>7291095.3571428545</v>
      </c>
      <c r="E655" s="789">
        <f t="shared" si="41"/>
        <v>339120.71428571426</v>
      </c>
      <c r="F655" s="736">
        <f t="shared" si="37"/>
        <v>6951974.6428571399</v>
      </c>
      <c r="G655" s="794">
        <f t="shared" si="38"/>
        <v>1368209.8146469148</v>
      </c>
      <c r="H655" s="795">
        <f t="shared" si="39"/>
        <v>1368209.8146469148</v>
      </c>
      <c r="I655" s="792">
        <f t="shared" si="40"/>
        <v>0</v>
      </c>
      <c r="J655" s="792"/>
      <c r="K655" s="812"/>
      <c r="L655" s="796"/>
      <c r="M655" s="812"/>
      <c r="N655" s="796"/>
      <c r="O655" s="796"/>
    </row>
    <row r="656" spans="3:15">
      <c r="C656" s="788">
        <f>IF(D635="","-",+C655+1)</f>
        <v>2030</v>
      </c>
      <c r="D656" s="736">
        <f t="shared" si="36"/>
        <v>6951974.6428571399</v>
      </c>
      <c r="E656" s="789">
        <f t="shared" si="41"/>
        <v>339120.71428571426</v>
      </c>
      <c r="F656" s="736">
        <f t="shared" si="37"/>
        <v>6612853.9285714254</v>
      </c>
      <c r="G656" s="794">
        <f t="shared" si="38"/>
        <v>1319205.5717725719</v>
      </c>
      <c r="H656" s="795">
        <f t="shared" si="39"/>
        <v>1319205.5717725719</v>
      </c>
      <c r="I656" s="792">
        <f t="shared" si="40"/>
        <v>0</v>
      </c>
      <c r="J656" s="792"/>
      <c r="K656" s="812"/>
      <c r="L656" s="796"/>
      <c r="M656" s="812"/>
      <c r="N656" s="796"/>
      <c r="O656" s="796"/>
    </row>
    <row r="657" spans="3:15">
      <c r="C657" s="788">
        <f>IF(D635="","-",+C656+1)</f>
        <v>2031</v>
      </c>
      <c r="D657" s="736">
        <f t="shared" si="36"/>
        <v>6612853.9285714254</v>
      </c>
      <c r="E657" s="789">
        <f t="shared" si="41"/>
        <v>339120.71428571426</v>
      </c>
      <c r="F657" s="736">
        <f t="shared" si="37"/>
        <v>6273733.2142857108</v>
      </c>
      <c r="G657" s="794">
        <f t="shared" si="38"/>
        <v>1270201.3288982289</v>
      </c>
      <c r="H657" s="795">
        <f t="shared" si="39"/>
        <v>1270201.3288982289</v>
      </c>
      <c r="I657" s="792">
        <f t="shared" si="40"/>
        <v>0</v>
      </c>
      <c r="J657" s="792"/>
      <c r="K657" s="812"/>
      <c r="L657" s="796"/>
      <c r="M657" s="812"/>
      <c r="N657" s="796"/>
      <c r="O657" s="796"/>
    </row>
    <row r="658" spans="3:15">
      <c r="C658" s="788">
        <f>IF(D635="","-",+C657+1)</f>
        <v>2032</v>
      </c>
      <c r="D658" s="736">
        <f t="shared" si="36"/>
        <v>6273733.2142857108</v>
      </c>
      <c r="E658" s="789">
        <f t="shared" si="41"/>
        <v>339120.71428571426</v>
      </c>
      <c r="F658" s="736">
        <f t="shared" si="37"/>
        <v>5934612.4999999963</v>
      </c>
      <c r="G658" s="794">
        <f t="shared" si="38"/>
        <v>1221197.086023886</v>
      </c>
      <c r="H658" s="795">
        <f t="shared" si="39"/>
        <v>1221197.086023886</v>
      </c>
      <c r="I658" s="792">
        <f t="shared" si="40"/>
        <v>0</v>
      </c>
      <c r="J658" s="792"/>
      <c r="K658" s="812"/>
      <c r="L658" s="796"/>
      <c r="M658" s="812"/>
      <c r="N658" s="796"/>
      <c r="O658" s="796"/>
    </row>
    <row r="659" spans="3:15">
      <c r="C659" s="788">
        <f>IF(D635="","-",+C658+1)</f>
        <v>2033</v>
      </c>
      <c r="D659" s="736">
        <f t="shared" si="36"/>
        <v>5934612.4999999963</v>
      </c>
      <c r="E659" s="789">
        <f t="shared" si="41"/>
        <v>339120.71428571426</v>
      </c>
      <c r="F659" s="736">
        <f t="shared" si="37"/>
        <v>5595491.7857142817</v>
      </c>
      <c r="G659" s="794">
        <f t="shared" si="38"/>
        <v>1172192.843149543</v>
      </c>
      <c r="H659" s="795">
        <f t="shared" si="39"/>
        <v>1172192.843149543</v>
      </c>
      <c r="I659" s="792">
        <f t="shared" si="40"/>
        <v>0</v>
      </c>
      <c r="J659" s="792"/>
      <c r="K659" s="812"/>
      <c r="L659" s="796"/>
      <c r="M659" s="812"/>
      <c r="N659" s="796"/>
      <c r="O659" s="796"/>
    </row>
    <row r="660" spans="3:15">
      <c r="C660" s="788">
        <f>IF(D635="","-",+C659+1)</f>
        <v>2034</v>
      </c>
      <c r="D660" s="736">
        <f t="shared" si="36"/>
        <v>5595491.7857142817</v>
      </c>
      <c r="E660" s="789">
        <f t="shared" si="41"/>
        <v>339120.71428571426</v>
      </c>
      <c r="F660" s="736">
        <f t="shared" si="37"/>
        <v>5256371.0714285672</v>
      </c>
      <c r="G660" s="794">
        <f t="shared" si="38"/>
        <v>1123188.6002752001</v>
      </c>
      <c r="H660" s="795">
        <f t="shared" si="39"/>
        <v>1123188.6002752001</v>
      </c>
      <c r="I660" s="792">
        <f t="shared" si="40"/>
        <v>0</v>
      </c>
      <c r="J660" s="792"/>
      <c r="K660" s="812"/>
      <c r="L660" s="796"/>
      <c r="M660" s="812"/>
      <c r="N660" s="796"/>
      <c r="O660" s="796"/>
    </row>
    <row r="661" spans="3:15">
      <c r="C661" s="788">
        <f>IF(D635="","-",+C660+1)</f>
        <v>2035</v>
      </c>
      <c r="D661" s="736">
        <f t="shared" si="36"/>
        <v>5256371.0714285672</v>
      </c>
      <c r="E661" s="789">
        <f t="shared" si="41"/>
        <v>339120.71428571426</v>
      </c>
      <c r="F661" s="736">
        <f t="shared" si="37"/>
        <v>4917250.3571428526</v>
      </c>
      <c r="G661" s="794">
        <f t="shared" si="38"/>
        <v>1074184.3574008571</v>
      </c>
      <c r="H661" s="795">
        <f t="shared" si="39"/>
        <v>1074184.3574008571</v>
      </c>
      <c r="I661" s="792">
        <f t="shared" si="40"/>
        <v>0</v>
      </c>
      <c r="J661" s="792"/>
      <c r="K661" s="812"/>
      <c r="L661" s="796"/>
      <c r="M661" s="812"/>
      <c r="N661" s="796"/>
      <c r="O661" s="796"/>
    </row>
    <row r="662" spans="3:15">
      <c r="C662" s="788">
        <f>IF(D635="","-",+C661+1)</f>
        <v>2036</v>
      </c>
      <c r="D662" s="736">
        <f t="shared" si="36"/>
        <v>4917250.3571428526</v>
      </c>
      <c r="E662" s="789">
        <f t="shared" si="41"/>
        <v>339120.71428571426</v>
      </c>
      <c r="F662" s="736">
        <f t="shared" si="37"/>
        <v>4578129.6428571381</v>
      </c>
      <c r="G662" s="794">
        <f t="shared" si="38"/>
        <v>1025180.1145265142</v>
      </c>
      <c r="H662" s="795">
        <f t="shared" si="39"/>
        <v>1025180.1145265142</v>
      </c>
      <c r="I662" s="792">
        <f t="shared" si="40"/>
        <v>0</v>
      </c>
      <c r="J662" s="792"/>
      <c r="K662" s="812"/>
      <c r="L662" s="796"/>
      <c r="M662" s="812"/>
      <c r="N662" s="796"/>
      <c r="O662" s="796"/>
    </row>
    <row r="663" spans="3:15">
      <c r="C663" s="788">
        <f>IF(D635="","-",+C662+1)</f>
        <v>2037</v>
      </c>
      <c r="D663" s="736">
        <f t="shared" si="36"/>
        <v>4578129.6428571381</v>
      </c>
      <c r="E663" s="789">
        <f t="shared" si="41"/>
        <v>339120.71428571426</v>
      </c>
      <c r="F663" s="736">
        <f t="shared" si="37"/>
        <v>4239008.9285714235</v>
      </c>
      <c r="G663" s="794">
        <f t="shared" si="38"/>
        <v>976175.87165217125</v>
      </c>
      <c r="H663" s="795">
        <f t="shared" si="39"/>
        <v>976175.87165217125</v>
      </c>
      <c r="I663" s="792">
        <f t="shared" si="40"/>
        <v>0</v>
      </c>
      <c r="J663" s="792"/>
      <c r="K663" s="812"/>
      <c r="L663" s="796"/>
      <c r="M663" s="812"/>
      <c r="N663" s="796"/>
      <c r="O663" s="796"/>
    </row>
    <row r="664" spans="3:15">
      <c r="C664" s="788">
        <f>IF(D635="","-",+C663+1)</f>
        <v>2038</v>
      </c>
      <c r="D664" s="736">
        <f t="shared" si="36"/>
        <v>4239008.9285714235</v>
      </c>
      <c r="E664" s="789">
        <f t="shared" si="41"/>
        <v>339120.71428571426</v>
      </c>
      <c r="F664" s="736">
        <f t="shared" si="37"/>
        <v>3899888.2142857094</v>
      </c>
      <c r="G664" s="794">
        <f t="shared" si="38"/>
        <v>927171.6287778283</v>
      </c>
      <c r="H664" s="795">
        <f t="shared" si="39"/>
        <v>927171.6287778283</v>
      </c>
      <c r="I664" s="792">
        <f t="shared" si="40"/>
        <v>0</v>
      </c>
      <c r="J664" s="792"/>
      <c r="K664" s="812"/>
      <c r="L664" s="796"/>
      <c r="M664" s="812"/>
      <c r="N664" s="796"/>
      <c r="O664" s="796"/>
    </row>
    <row r="665" spans="3:15">
      <c r="C665" s="788">
        <f>IF(D635="","-",+C664+1)</f>
        <v>2039</v>
      </c>
      <c r="D665" s="736">
        <f t="shared" si="36"/>
        <v>3899888.2142857094</v>
      </c>
      <c r="E665" s="789">
        <f t="shared" si="41"/>
        <v>339120.71428571426</v>
      </c>
      <c r="F665" s="736">
        <f t="shared" si="37"/>
        <v>3560767.4999999953</v>
      </c>
      <c r="G665" s="794">
        <f t="shared" si="38"/>
        <v>878167.38590348559</v>
      </c>
      <c r="H665" s="795">
        <f t="shared" si="39"/>
        <v>878167.38590348559</v>
      </c>
      <c r="I665" s="792">
        <f t="shared" si="40"/>
        <v>0</v>
      </c>
      <c r="J665" s="792"/>
      <c r="K665" s="812"/>
      <c r="L665" s="796"/>
      <c r="M665" s="812"/>
      <c r="N665" s="796"/>
      <c r="O665" s="796"/>
    </row>
    <row r="666" spans="3:15">
      <c r="C666" s="788">
        <f>IF(D635="","-",+C665+1)</f>
        <v>2040</v>
      </c>
      <c r="D666" s="736">
        <f t="shared" si="36"/>
        <v>3560767.4999999953</v>
      </c>
      <c r="E666" s="789">
        <f t="shared" si="41"/>
        <v>339120.71428571426</v>
      </c>
      <c r="F666" s="736">
        <f t="shared" si="37"/>
        <v>3221646.7857142813</v>
      </c>
      <c r="G666" s="794">
        <f t="shared" si="38"/>
        <v>829163.14302914264</v>
      </c>
      <c r="H666" s="795">
        <f t="shared" si="39"/>
        <v>829163.14302914264</v>
      </c>
      <c r="I666" s="792">
        <f t="shared" si="40"/>
        <v>0</v>
      </c>
      <c r="J666" s="792"/>
      <c r="K666" s="812"/>
      <c r="L666" s="796"/>
      <c r="M666" s="812"/>
      <c r="N666" s="796"/>
      <c r="O666" s="796"/>
    </row>
    <row r="667" spans="3:15">
      <c r="C667" s="788">
        <f>IF(D635="","-",+C666+1)</f>
        <v>2041</v>
      </c>
      <c r="D667" s="736">
        <f t="shared" si="36"/>
        <v>3221646.7857142813</v>
      </c>
      <c r="E667" s="789">
        <f t="shared" si="41"/>
        <v>339120.71428571426</v>
      </c>
      <c r="F667" s="736">
        <f t="shared" si="37"/>
        <v>2882526.0714285672</v>
      </c>
      <c r="G667" s="794">
        <f t="shared" si="38"/>
        <v>780158.90015479981</v>
      </c>
      <c r="H667" s="795">
        <f t="shared" si="39"/>
        <v>780158.90015479981</v>
      </c>
      <c r="I667" s="792">
        <f t="shared" si="40"/>
        <v>0</v>
      </c>
      <c r="J667" s="792"/>
      <c r="K667" s="812"/>
      <c r="L667" s="796"/>
      <c r="M667" s="812"/>
      <c r="N667" s="796"/>
      <c r="O667" s="796"/>
    </row>
    <row r="668" spans="3:15">
      <c r="C668" s="788">
        <f>IF(D635="","-",+C667+1)</f>
        <v>2042</v>
      </c>
      <c r="D668" s="736">
        <f t="shared" si="36"/>
        <v>2882526.0714285672</v>
      </c>
      <c r="E668" s="789">
        <f t="shared" si="41"/>
        <v>339120.71428571426</v>
      </c>
      <c r="F668" s="736">
        <f t="shared" si="37"/>
        <v>2543405.3571428531</v>
      </c>
      <c r="G668" s="794">
        <f t="shared" si="38"/>
        <v>731154.65728045686</v>
      </c>
      <c r="H668" s="795">
        <f t="shared" si="39"/>
        <v>731154.65728045686</v>
      </c>
      <c r="I668" s="792">
        <f t="shared" si="40"/>
        <v>0</v>
      </c>
      <c r="J668" s="792"/>
      <c r="K668" s="812"/>
      <c r="L668" s="796"/>
      <c r="M668" s="812"/>
      <c r="N668" s="796"/>
      <c r="O668" s="796"/>
    </row>
    <row r="669" spans="3:15">
      <c r="C669" s="788">
        <f>IF(D635="","-",+C668+1)</f>
        <v>2043</v>
      </c>
      <c r="D669" s="736">
        <f t="shared" si="36"/>
        <v>2543405.3571428531</v>
      </c>
      <c r="E669" s="789">
        <f t="shared" si="41"/>
        <v>339120.71428571426</v>
      </c>
      <c r="F669" s="736">
        <f t="shared" si="37"/>
        <v>2204284.642857139</v>
      </c>
      <c r="G669" s="790">
        <f t="shared" si="38"/>
        <v>682150.41440611403</v>
      </c>
      <c r="H669" s="795">
        <f t="shared" si="39"/>
        <v>682150.41440611403</v>
      </c>
      <c r="I669" s="792">
        <f t="shared" si="40"/>
        <v>0</v>
      </c>
      <c r="J669" s="792"/>
      <c r="K669" s="812"/>
      <c r="L669" s="796"/>
      <c r="M669" s="812"/>
      <c r="N669" s="796"/>
      <c r="O669" s="796"/>
    </row>
    <row r="670" spans="3:15">
      <c r="C670" s="788">
        <f>IF(D635="","-",+C669+1)</f>
        <v>2044</v>
      </c>
      <c r="D670" s="736">
        <f t="shared" si="36"/>
        <v>2204284.642857139</v>
      </c>
      <c r="E670" s="789">
        <f t="shared" si="41"/>
        <v>339120.71428571426</v>
      </c>
      <c r="F670" s="736">
        <f t="shared" si="37"/>
        <v>1865163.9285714247</v>
      </c>
      <c r="G670" s="794">
        <f t="shared" si="38"/>
        <v>633146.17153177108</v>
      </c>
      <c r="H670" s="795">
        <f t="shared" si="39"/>
        <v>633146.17153177108</v>
      </c>
      <c r="I670" s="792">
        <f t="shared" si="40"/>
        <v>0</v>
      </c>
      <c r="J670" s="792"/>
      <c r="K670" s="812"/>
      <c r="L670" s="796"/>
      <c r="M670" s="812"/>
      <c r="N670" s="796"/>
      <c r="O670" s="796"/>
    </row>
    <row r="671" spans="3:15">
      <c r="C671" s="788">
        <f>IF(D635="","-",+C670+1)</f>
        <v>2045</v>
      </c>
      <c r="D671" s="736">
        <f t="shared" si="36"/>
        <v>1865163.9285714247</v>
      </c>
      <c r="E671" s="789">
        <f t="shared" si="41"/>
        <v>339120.71428571426</v>
      </c>
      <c r="F671" s="736">
        <f t="shared" si="37"/>
        <v>1526043.2142857104</v>
      </c>
      <c r="G671" s="794">
        <f t="shared" si="38"/>
        <v>584141.92865742825</v>
      </c>
      <c r="H671" s="795">
        <f t="shared" si="39"/>
        <v>584141.92865742825</v>
      </c>
      <c r="I671" s="792">
        <f t="shared" si="40"/>
        <v>0</v>
      </c>
      <c r="J671" s="792"/>
      <c r="K671" s="812"/>
      <c r="L671" s="796"/>
      <c r="M671" s="812"/>
      <c r="N671" s="796"/>
      <c r="O671" s="796"/>
    </row>
    <row r="672" spans="3:15">
      <c r="C672" s="788">
        <f>IF(D635="","-",+C671+1)</f>
        <v>2046</v>
      </c>
      <c r="D672" s="736">
        <f t="shared" si="36"/>
        <v>1526043.2142857104</v>
      </c>
      <c r="E672" s="789">
        <f t="shared" si="41"/>
        <v>339120.71428571426</v>
      </c>
      <c r="F672" s="736">
        <f t="shared" si="37"/>
        <v>1186922.499999996</v>
      </c>
      <c r="G672" s="794">
        <f t="shared" si="38"/>
        <v>535137.6857830853</v>
      </c>
      <c r="H672" s="795">
        <f t="shared" si="39"/>
        <v>535137.6857830853</v>
      </c>
      <c r="I672" s="792">
        <f t="shared" si="40"/>
        <v>0</v>
      </c>
      <c r="J672" s="792"/>
      <c r="K672" s="812"/>
      <c r="L672" s="796"/>
      <c r="M672" s="812"/>
      <c r="N672" s="796"/>
      <c r="O672" s="796"/>
    </row>
    <row r="673" spans="3:15">
      <c r="C673" s="788">
        <f>IF(D635="","-",+C672+1)</f>
        <v>2047</v>
      </c>
      <c r="D673" s="736">
        <f t="shared" si="36"/>
        <v>1186922.499999996</v>
      </c>
      <c r="E673" s="789">
        <f t="shared" si="41"/>
        <v>339120.71428571426</v>
      </c>
      <c r="F673" s="736">
        <f t="shared" si="37"/>
        <v>847801.78571428172</v>
      </c>
      <c r="G673" s="794">
        <f t="shared" si="38"/>
        <v>486133.44290874241</v>
      </c>
      <c r="H673" s="795">
        <f t="shared" si="39"/>
        <v>486133.44290874241</v>
      </c>
      <c r="I673" s="792">
        <f t="shared" si="40"/>
        <v>0</v>
      </c>
      <c r="J673" s="792"/>
      <c r="K673" s="812"/>
      <c r="L673" s="796"/>
      <c r="M673" s="812"/>
      <c r="N673" s="796"/>
      <c r="O673" s="796"/>
    </row>
    <row r="674" spans="3:15">
      <c r="C674" s="788">
        <f>IF(D635="","-",+C673+1)</f>
        <v>2048</v>
      </c>
      <c r="D674" s="736">
        <f t="shared" si="36"/>
        <v>847801.78571428172</v>
      </c>
      <c r="E674" s="789">
        <f t="shared" si="41"/>
        <v>339120.71428571426</v>
      </c>
      <c r="F674" s="736">
        <f t="shared" si="37"/>
        <v>508681.07142856746</v>
      </c>
      <c r="G674" s="794">
        <f t="shared" si="38"/>
        <v>437129.20003439952</v>
      </c>
      <c r="H674" s="795">
        <f t="shared" si="39"/>
        <v>437129.20003439952</v>
      </c>
      <c r="I674" s="792">
        <f t="shared" si="40"/>
        <v>0</v>
      </c>
      <c r="J674" s="792"/>
      <c r="K674" s="812"/>
      <c r="L674" s="796"/>
      <c r="M674" s="812"/>
      <c r="N674" s="796"/>
      <c r="O674" s="796"/>
    </row>
    <row r="675" spans="3:15">
      <c r="C675" s="788">
        <f>IF(D635="","-",+C674+1)</f>
        <v>2049</v>
      </c>
      <c r="D675" s="736">
        <f t="shared" si="36"/>
        <v>508681.07142856746</v>
      </c>
      <c r="E675" s="789">
        <f t="shared" si="41"/>
        <v>339120.71428571426</v>
      </c>
      <c r="F675" s="736">
        <f t="shared" si="37"/>
        <v>169560.3571428532</v>
      </c>
      <c r="G675" s="794">
        <f t="shared" si="38"/>
        <v>388124.95716005657</v>
      </c>
      <c r="H675" s="795">
        <f t="shared" si="39"/>
        <v>388124.95716005657</v>
      </c>
      <c r="I675" s="792">
        <f t="shared" si="40"/>
        <v>0</v>
      </c>
      <c r="J675" s="792"/>
      <c r="K675" s="812"/>
      <c r="L675" s="796"/>
      <c r="M675" s="812"/>
      <c r="N675" s="796"/>
      <c r="O675" s="796"/>
    </row>
    <row r="676" spans="3:15">
      <c r="C676" s="788">
        <f>IF(D635="","-",+C675+1)</f>
        <v>2050</v>
      </c>
      <c r="D676" s="736">
        <f t="shared" si="36"/>
        <v>169560.3571428532</v>
      </c>
      <c r="E676" s="789">
        <f t="shared" si="41"/>
        <v>169560.3571428532</v>
      </c>
      <c r="F676" s="736">
        <f t="shared" si="37"/>
        <v>0</v>
      </c>
      <c r="G676" s="794">
        <f t="shared" si="38"/>
        <v>181811.41786143865</v>
      </c>
      <c r="H676" s="795">
        <f t="shared" si="39"/>
        <v>181811.41786143865</v>
      </c>
      <c r="I676" s="792">
        <f t="shared" si="40"/>
        <v>0</v>
      </c>
      <c r="J676" s="792"/>
      <c r="K676" s="812"/>
      <c r="L676" s="796"/>
      <c r="M676" s="812"/>
      <c r="N676" s="796"/>
      <c r="O676" s="796"/>
    </row>
    <row r="677" spans="3:15">
      <c r="C677" s="788">
        <f>IF(D635="","-",+C676+1)</f>
        <v>2051</v>
      </c>
      <c r="D677" s="736">
        <f t="shared" si="36"/>
        <v>0</v>
      </c>
      <c r="E677" s="789">
        <f t="shared" si="41"/>
        <v>0</v>
      </c>
      <c r="F677" s="736">
        <f t="shared" si="37"/>
        <v>0</v>
      </c>
      <c r="G677" s="794">
        <f t="shared" si="38"/>
        <v>0</v>
      </c>
      <c r="H677" s="795">
        <f t="shared" si="39"/>
        <v>0</v>
      </c>
      <c r="I677" s="792">
        <f t="shared" si="40"/>
        <v>0</v>
      </c>
      <c r="J677" s="792"/>
      <c r="K677" s="812"/>
      <c r="L677" s="796"/>
      <c r="M677" s="812"/>
      <c r="N677" s="796"/>
      <c r="O677" s="796"/>
    </row>
    <row r="678" spans="3:15">
      <c r="C678" s="788">
        <f>IF(D635="","-",+C677+1)</f>
        <v>2052</v>
      </c>
      <c r="D678" s="736">
        <f t="shared" si="36"/>
        <v>0</v>
      </c>
      <c r="E678" s="789">
        <f t="shared" si="41"/>
        <v>0</v>
      </c>
      <c r="F678" s="736">
        <f t="shared" si="37"/>
        <v>0</v>
      </c>
      <c r="G678" s="794">
        <f t="shared" si="38"/>
        <v>0</v>
      </c>
      <c r="H678" s="795">
        <f t="shared" si="39"/>
        <v>0</v>
      </c>
      <c r="I678" s="792">
        <f t="shared" si="40"/>
        <v>0</v>
      </c>
      <c r="J678" s="792"/>
      <c r="K678" s="812"/>
      <c r="L678" s="796"/>
      <c r="M678" s="812"/>
      <c r="N678" s="796"/>
      <c r="O678" s="796"/>
    </row>
    <row r="679" spans="3:15">
      <c r="C679" s="788">
        <f>IF(D635="","-",+C678+1)</f>
        <v>2053</v>
      </c>
      <c r="D679" s="736">
        <f t="shared" si="36"/>
        <v>0</v>
      </c>
      <c r="E679" s="789">
        <f t="shared" si="41"/>
        <v>0</v>
      </c>
      <c r="F679" s="736">
        <f t="shared" si="37"/>
        <v>0</v>
      </c>
      <c r="G679" s="794">
        <f t="shared" si="38"/>
        <v>0</v>
      </c>
      <c r="H679" s="795">
        <f t="shared" si="39"/>
        <v>0</v>
      </c>
      <c r="I679" s="792">
        <f t="shared" si="40"/>
        <v>0</v>
      </c>
      <c r="J679" s="792"/>
      <c r="K679" s="812"/>
      <c r="L679" s="796"/>
      <c r="M679" s="812"/>
      <c r="N679" s="796"/>
      <c r="O679" s="796"/>
    </row>
    <row r="680" spans="3:15">
      <c r="C680" s="788">
        <f>IF(D635="","-",+C679+1)</f>
        <v>2054</v>
      </c>
      <c r="D680" s="736">
        <f t="shared" si="36"/>
        <v>0</v>
      </c>
      <c r="E680" s="789">
        <f t="shared" si="41"/>
        <v>0</v>
      </c>
      <c r="F680" s="736">
        <f t="shared" si="37"/>
        <v>0</v>
      </c>
      <c r="G680" s="794">
        <f t="shared" si="38"/>
        <v>0</v>
      </c>
      <c r="H680" s="795">
        <f t="shared" si="39"/>
        <v>0</v>
      </c>
      <c r="I680" s="792">
        <f t="shared" si="40"/>
        <v>0</v>
      </c>
      <c r="J680" s="792"/>
      <c r="K680" s="812"/>
      <c r="L680" s="796"/>
      <c r="M680" s="812"/>
      <c r="N680" s="796"/>
      <c r="O680" s="796"/>
    </row>
    <row r="681" spans="3:15">
      <c r="C681" s="788">
        <f>IF(D635="","-",+C680+1)</f>
        <v>2055</v>
      </c>
      <c r="D681" s="736">
        <f t="shared" si="36"/>
        <v>0</v>
      </c>
      <c r="E681" s="789">
        <f t="shared" si="41"/>
        <v>0</v>
      </c>
      <c r="F681" s="736">
        <f t="shared" si="37"/>
        <v>0</v>
      </c>
      <c r="G681" s="794">
        <f t="shared" si="38"/>
        <v>0</v>
      </c>
      <c r="H681" s="795">
        <f t="shared" si="39"/>
        <v>0</v>
      </c>
      <c r="I681" s="792">
        <f t="shared" si="40"/>
        <v>0</v>
      </c>
      <c r="J681" s="792"/>
      <c r="K681" s="812"/>
      <c r="L681" s="796"/>
      <c r="M681" s="812"/>
      <c r="N681" s="796"/>
      <c r="O681" s="796"/>
    </row>
    <row r="682" spans="3:15">
      <c r="C682" s="788">
        <f>IF(D635="","-",+C681+1)</f>
        <v>2056</v>
      </c>
      <c r="D682" s="736">
        <f t="shared" si="36"/>
        <v>0</v>
      </c>
      <c r="E682" s="789">
        <f t="shared" si="41"/>
        <v>0</v>
      </c>
      <c r="F682" s="736">
        <f t="shared" si="37"/>
        <v>0</v>
      </c>
      <c r="G682" s="794">
        <f t="shared" si="38"/>
        <v>0</v>
      </c>
      <c r="H682" s="795">
        <f t="shared" si="39"/>
        <v>0</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83</v>
      </c>
      <c r="D701" s="730"/>
      <c r="E701" s="730">
        <f>SUM(E641:E700)</f>
        <v>11869225</v>
      </c>
      <c r="F701" s="730"/>
      <c r="G701" s="730">
        <f>SUM(G641:G700)</f>
        <v>42741898.01083602</v>
      </c>
      <c r="H701" s="730">
        <f>SUM(H641:H700)</f>
        <v>42741898.01083602</v>
      </c>
      <c r="I701" s="730">
        <f>SUM(I641:I700)</f>
        <v>0</v>
      </c>
      <c r="J701" s="730"/>
      <c r="K701" s="730"/>
      <c r="L701" s="730"/>
      <c r="M701" s="730"/>
      <c r="N701" s="730"/>
      <c r="O701" s="313"/>
    </row>
    <row r="702" spans="3:15">
      <c r="D702" s="538"/>
      <c r="E702" s="313"/>
      <c r="F702" s="313"/>
      <c r="G702" s="313"/>
      <c r="H702" s="708"/>
      <c r="I702" s="708"/>
      <c r="J702" s="730"/>
      <c r="K702" s="708"/>
      <c r="L702" s="708"/>
      <c r="M702" s="708"/>
      <c r="N702" s="708"/>
      <c r="O702" s="313"/>
    </row>
    <row r="703" spans="3:15">
      <c r="C703" s="313" t="s">
        <v>13</v>
      </c>
      <c r="D703" s="538"/>
      <c r="E703" s="313"/>
      <c r="F703" s="313"/>
      <c r="G703" s="313"/>
      <c r="H703" s="708"/>
      <c r="I703" s="708"/>
      <c r="J703" s="730"/>
      <c r="K703" s="708"/>
      <c r="L703" s="708"/>
      <c r="M703" s="708"/>
      <c r="N703" s="708"/>
      <c r="O703" s="313"/>
    </row>
    <row r="704" spans="3:15">
      <c r="C704" s="313"/>
      <c r="D704" s="538"/>
      <c r="E704" s="313"/>
      <c r="F704" s="313"/>
      <c r="G704" s="313"/>
      <c r="H704" s="708"/>
      <c r="I704" s="708"/>
      <c r="J704" s="730"/>
      <c r="K704" s="708"/>
      <c r="L704" s="708"/>
      <c r="M704" s="708"/>
      <c r="N704" s="708"/>
      <c r="O704" s="313"/>
    </row>
    <row r="705" spans="1:16">
      <c r="C705" s="749" t="s">
        <v>14</v>
      </c>
      <c r="D705" s="736"/>
      <c r="E705" s="736"/>
      <c r="F705" s="736"/>
      <c r="G705" s="730"/>
      <c r="H705" s="730"/>
      <c r="I705" s="804"/>
      <c r="J705" s="804"/>
      <c r="K705" s="804"/>
      <c r="L705" s="804"/>
      <c r="M705" s="804"/>
      <c r="N705" s="804"/>
      <c r="O705" s="313"/>
    </row>
    <row r="706" spans="1:16">
      <c r="C706" s="735" t="s">
        <v>263</v>
      </c>
      <c r="D706" s="736"/>
      <c r="E706" s="736"/>
      <c r="F706" s="736"/>
      <c r="G706" s="730"/>
      <c r="H706" s="730"/>
      <c r="I706" s="804"/>
      <c r="J706" s="804"/>
      <c r="K706" s="804"/>
      <c r="L706" s="804"/>
      <c r="M706" s="804"/>
      <c r="N706" s="804"/>
      <c r="O706" s="313"/>
    </row>
    <row r="707" spans="1:16">
      <c r="C707" s="735" t="s">
        <v>84</v>
      </c>
      <c r="D707" s="736"/>
      <c r="E707" s="736"/>
      <c r="F707" s="736"/>
      <c r="G707" s="730"/>
      <c r="H707" s="730"/>
      <c r="I707" s="804"/>
      <c r="J707" s="804"/>
      <c r="K707" s="804"/>
      <c r="L707" s="804"/>
      <c r="M707" s="804"/>
      <c r="N707" s="804"/>
      <c r="O707" s="313"/>
    </row>
    <row r="708" spans="1:16">
      <c r="C708" s="735"/>
      <c r="D708" s="736"/>
      <c r="E708" s="736"/>
      <c r="F708" s="736"/>
      <c r="G708" s="730"/>
      <c r="H708" s="730"/>
      <c r="I708" s="804"/>
      <c r="J708" s="804"/>
      <c r="K708" s="804"/>
      <c r="L708" s="804"/>
      <c r="M708" s="804"/>
      <c r="N708" s="804"/>
      <c r="O708" s="313"/>
    </row>
    <row r="709" spans="1:16">
      <c r="C709" s="1547" t="s">
        <v>6</v>
      </c>
      <c r="D709" s="1547"/>
      <c r="E709" s="1547"/>
      <c r="F709" s="1547"/>
      <c r="G709" s="1547"/>
      <c r="H709" s="1547"/>
      <c r="I709" s="1547"/>
      <c r="J709" s="1547"/>
      <c r="K709" s="1547"/>
      <c r="L709" s="1547"/>
      <c r="M709" s="1547"/>
      <c r="N709" s="1547"/>
      <c r="O709" s="1547"/>
    </row>
    <row r="710" spans="1:16">
      <c r="C710" s="1547"/>
      <c r="D710" s="1547"/>
      <c r="E710" s="1547"/>
      <c r="F710" s="1547"/>
      <c r="G710" s="1547"/>
      <c r="H710" s="1547"/>
      <c r="I710" s="1547"/>
      <c r="J710" s="1547"/>
      <c r="K710" s="1547"/>
      <c r="L710" s="1547"/>
      <c r="M710" s="1547"/>
      <c r="N710" s="1547"/>
      <c r="O710" s="1547"/>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7"/>
      <c r="C712" s="725"/>
      <c r="D712" s="538"/>
      <c r="E712" s="313"/>
      <c r="F712" s="707"/>
      <c r="G712" s="313"/>
      <c r="H712" s="708"/>
      <c r="K712" s="564"/>
      <c r="L712" s="564"/>
      <c r="M712" s="564"/>
      <c r="N712" s="653" t="str">
        <f>"Page "&amp;SUM(P$8:P712)&amp;" of "</f>
        <v xml:space="preserve">Page 9 of </v>
      </c>
      <c r="O712" s="654">
        <f>COUNT(P$8:P$56653)</f>
        <v>23</v>
      </c>
      <c r="P712" s="172">
        <v>1</v>
      </c>
    </row>
    <row r="713" spans="1:16">
      <c r="B713" s="347"/>
      <c r="C713" s="313"/>
      <c r="D713" s="538"/>
      <c r="E713" s="313"/>
      <c r="F713" s="313"/>
      <c r="G713" s="313"/>
      <c r="H713" s="708"/>
      <c r="I713" s="313"/>
      <c r="J713" s="426"/>
      <c r="K713" s="313"/>
      <c r="L713" s="313"/>
      <c r="M713" s="313"/>
      <c r="N713" s="313"/>
      <c r="O713" s="313"/>
    </row>
    <row r="714" spans="1:16" ht="18">
      <c r="B714" s="657" t="s">
        <v>466</v>
      </c>
      <c r="C714" s="739" t="s">
        <v>85</v>
      </c>
      <c r="D714" s="538"/>
      <c r="E714" s="313"/>
      <c r="F714" s="313"/>
      <c r="G714" s="313"/>
      <c r="H714" s="708"/>
      <c r="I714" s="708"/>
      <c r="J714" s="730"/>
      <c r="K714" s="708"/>
      <c r="L714" s="708"/>
      <c r="M714" s="708"/>
      <c r="N714" s="708"/>
      <c r="O714" s="313"/>
    </row>
    <row r="715" spans="1:16" ht="18.75">
      <c r="B715" s="657"/>
      <c r="C715" s="656"/>
      <c r="D715" s="538"/>
      <c r="E715" s="313"/>
      <c r="F715" s="313"/>
      <c r="G715" s="313"/>
      <c r="H715" s="708"/>
      <c r="I715" s="708"/>
      <c r="J715" s="730"/>
      <c r="K715" s="708"/>
      <c r="L715" s="708"/>
      <c r="M715" s="708"/>
      <c r="N715" s="708"/>
      <c r="O715" s="313"/>
    </row>
    <row r="716" spans="1:16" ht="18.75">
      <c r="B716" s="657"/>
      <c r="C716" s="656" t="s">
        <v>86</v>
      </c>
      <c r="D716" s="538"/>
      <c r="E716" s="313"/>
      <c r="F716" s="313"/>
      <c r="G716" s="313"/>
      <c r="H716" s="708"/>
      <c r="I716" s="708"/>
      <c r="J716" s="730"/>
      <c r="K716" s="708"/>
      <c r="L716" s="708"/>
      <c r="M716" s="708"/>
      <c r="N716" s="708"/>
      <c r="O716" s="313"/>
    </row>
    <row r="717" spans="1:16" ht="15.75" thickBot="1">
      <c r="C717" s="239"/>
      <c r="D717" s="538"/>
      <c r="E717" s="313"/>
      <c r="F717" s="313"/>
      <c r="G717" s="313"/>
      <c r="H717" s="708"/>
      <c r="I717" s="708"/>
      <c r="J717" s="730"/>
      <c r="K717" s="708"/>
      <c r="L717" s="708"/>
      <c r="M717" s="708"/>
      <c r="N717" s="708"/>
      <c r="O717" s="313"/>
    </row>
    <row r="718" spans="1:16" ht="15.75">
      <c r="C718" s="659" t="s">
        <v>87</v>
      </c>
      <c r="D718" s="538"/>
      <c r="E718" s="313"/>
      <c r="F718" s="313"/>
      <c r="G718" s="806"/>
      <c r="H718" s="313" t="s">
        <v>66</v>
      </c>
      <c r="I718" s="313"/>
      <c r="J718" s="426"/>
      <c r="K718" s="740" t="s">
        <v>91</v>
      </c>
      <c r="L718" s="741"/>
      <c r="M718" s="742"/>
      <c r="N718" s="743">
        <f>IF(I724=0,0,VLOOKUP(I724,C731:O790,5))</f>
        <v>881699.32857973035</v>
      </c>
      <c r="O718" s="313"/>
    </row>
    <row r="719" spans="1:16" ht="15.75">
      <c r="C719" s="659"/>
      <c r="D719" s="538"/>
      <c r="E719" s="313"/>
      <c r="F719" s="313"/>
      <c r="G719" s="313"/>
      <c r="H719" s="744"/>
      <c r="I719" s="744"/>
      <c r="J719" s="745"/>
      <c r="K719" s="746" t="s">
        <v>92</v>
      </c>
      <c r="L719" s="747"/>
      <c r="M719" s="426"/>
      <c r="N719" s="748">
        <f>IF(I724=0,0,VLOOKUP(I724,C731:O790,6))</f>
        <v>881699.32857973035</v>
      </c>
      <c r="O719" s="313"/>
    </row>
    <row r="720" spans="1:16" ht="13.5" thickBot="1">
      <c r="C720" s="749" t="s">
        <v>88</v>
      </c>
      <c r="D720" s="1537" t="s">
        <v>815</v>
      </c>
      <c r="E720" s="1537"/>
      <c r="F720" s="1537"/>
      <c r="G720" s="1537"/>
      <c r="H720" s="1537"/>
      <c r="I720" s="1537"/>
      <c r="J720" s="730"/>
      <c r="K720" s="750" t="s">
        <v>230</v>
      </c>
      <c r="L720" s="751"/>
      <c r="M720" s="751"/>
      <c r="N720" s="752">
        <f>+N719-N718</f>
        <v>0</v>
      </c>
      <c r="O720" s="313"/>
    </row>
    <row r="721" spans="2:15">
      <c r="C721" s="753"/>
      <c r="D721" s="754"/>
      <c r="E721" s="734"/>
      <c r="F721" s="734"/>
      <c r="G721" s="755"/>
      <c r="H721" s="708"/>
      <c r="I721" s="708"/>
      <c r="J721" s="730"/>
      <c r="K721" s="708"/>
      <c r="L721" s="708"/>
      <c r="M721" s="708"/>
      <c r="N721" s="708"/>
      <c r="O721" s="313"/>
    </row>
    <row r="722" spans="2:15" ht="13.5" thickBot="1">
      <c r="C722" s="756"/>
      <c r="D722" s="757"/>
      <c r="E722" s="755"/>
      <c r="F722" s="755"/>
      <c r="G722" s="755"/>
      <c r="H722" s="755"/>
      <c r="I722" s="755"/>
      <c r="J722" s="758"/>
      <c r="K722" s="755"/>
      <c r="L722" s="755"/>
      <c r="M722" s="755"/>
      <c r="N722" s="755"/>
      <c r="O722" s="347"/>
    </row>
    <row r="723" spans="2:15" ht="13.5" thickBot="1">
      <c r="C723" s="759" t="s">
        <v>89</v>
      </c>
      <c r="D723" s="760"/>
      <c r="E723" s="760"/>
      <c r="F723" s="760"/>
      <c r="G723" s="760"/>
      <c r="H723" s="760"/>
      <c r="I723" s="761"/>
      <c r="J723" s="762"/>
      <c r="K723" s="313"/>
      <c r="L723" s="313"/>
      <c r="M723" s="313"/>
      <c r="N723" s="313"/>
      <c r="O723" s="763"/>
    </row>
    <row r="724" spans="2:15" ht="15">
      <c r="C724" s="764" t="s">
        <v>67</v>
      </c>
      <c r="D724" s="808">
        <v>6422010</v>
      </c>
      <c r="E724" s="725" t="s">
        <v>68</v>
      </c>
      <c r="G724" s="765"/>
      <c r="H724" s="765"/>
      <c r="I724" s="766">
        <f>$L$26</f>
        <v>2023</v>
      </c>
      <c r="J724" s="554"/>
      <c r="K724" s="1536" t="s">
        <v>239</v>
      </c>
      <c r="L724" s="1536"/>
      <c r="M724" s="1536"/>
      <c r="N724" s="1536"/>
      <c r="O724" s="1536"/>
    </row>
    <row r="725" spans="2:15">
      <c r="C725" s="764" t="s">
        <v>70</v>
      </c>
      <c r="D725" s="809">
        <v>2014</v>
      </c>
      <c r="E725" s="764" t="s">
        <v>71</v>
      </c>
      <c r="F725" s="765"/>
      <c r="H725" s="172"/>
      <c r="I725" s="810">
        <f>IF(G718="",0,$F$17)</f>
        <v>0</v>
      </c>
      <c r="J725" s="767"/>
      <c r="K725" s="730" t="s">
        <v>239</v>
      </c>
    </row>
    <row r="726" spans="2:15">
      <c r="C726" s="764" t="s">
        <v>72</v>
      </c>
      <c r="D726" s="808">
        <v>10</v>
      </c>
      <c r="E726" s="764" t="s">
        <v>73</v>
      </c>
      <c r="F726" s="765"/>
      <c r="H726" s="172"/>
      <c r="I726" s="768">
        <f>$G$70</f>
        <v>0.14450383244078713</v>
      </c>
      <c r="J726" s="769"/>
      <c r="K726" s="172" t="str">
        <f>"          INPUT PROJECTED ARR (WITH &amp; WITHOUT INCENTIVES) FROM EACH PRIOR YEAR"</f>
        <v xml:space="preserve">          INPUT PROJECTED ARR (WITH &amp; WITHOUT INCENTIVES) FROM EACH PRIOR YEAR</v>
      </c>
    </row>
    <row r="727" spans="2:15">
      <c r="C727" s="764" t="s">
        <v>74</v>
      </c>
      <c r="D727" s="770">
        <f>$G$79</f>
        <v>35</v>
      </c>
      <c r="E727" s="764" t="s">
        <v>75</v>
      </c>
      <c r="F727" s="765"/>
      <c r="H727" s="172"/>
      <c r="I727" s="768">
        <f>IF(G718="",I726,$G$69)</f>
        <v>0.14450383244078713</v>
      </c>
      <c r="J727" s="771"/>
      <c r="K727" s="172" t="s">
        <v>152</v>
      </c>
    </row>
    <row r="728" spans="2:15" ht="13.5" thickBot="1">
      <c r="C728" s="764" t="s">
        <v>76</v>
      </c>
      <c r="D728" s="807" t="s">
        <v>808</v>
      </c>
      <c r="E728" s="772" t="s">
        <v>77</v>
      </c>
      <c r="F728" s="773"/>
      <c r="G728" s="774"/>
      <c r="H728" s="774"/>
      <c r="I728" s="752">
        <f>IF(D724=0,0,D724/D727)</f>
        <v>183486</v>
      </c>
      <c r="J728" s="730"/>
      <c r="K728" s="730" t="s">
        <v>158</v>
      </c>
      <c r="L728" s="730"/>
      <c r="M728" s="730"/>
      <c r="N728" s="730"/>
      <c r="O728" s="426"/>
    </row>
    <row r="729" spans="2:15" ht="38.25">
      <c r="B729" s="845"/>
      <c r="C729" s="775" t="s">
        <v>67</v>
      </c>
      <c r="D729" s="776" t="s">
        <v>78</v>
      </c>
      <c r="E729" s="777" t="s">
        <v>79</v>
      </c>
      <c r="F729" s="776" t="s">
        <v>80</v>
      </c>
      <c r="G729" s="777" t="s">
        <v>151</v>
      </c>
      <c r="H729" s="778" t="s">
        <v>151</v>
      </c>
      <c r="I729" s="775" t="s">
        <v>90</v>
      </c>
      <c r="J729" s="779"/>
      <c r="K729" s="777" t="s">
        <v>160</v>
      </c>
      <c r="L729" s="780"/>
      <c r="M729" s="777" t="s">
        <v>160</v>
      </c>
      <c r="N729" s="780"/>
      <c r="O729" s="780"/>
    </row>
    <row r="730" spans="2:15" ht="13.5" thickBot="1">
      <c r="C730" s="781" t="s">
        <v>469</v>
      </c>
      <c r="D730" s="782" t="s">
        <v>470</v>
      </c>
      <c r="E730" s="781" t="s">
        <v>363</v>
      </c>
      <c r="F730" s="782" t="s">
        <v>470</v>
      </c>
      <c r="G730" s="783" t="s">
        <v>93</v>
      </c>
      <c r="H730" s="784" t="s">
        <v>95</v>
      </c>
      <c r="I730" s="785" t="s">
        <v>15</v>
      </c>
      <c r="J730" s="786"/>
      <c r="K730" s="783" t="s">
        <v>82</v>
      </c>
      <c r="L730" s="787"/>
      <c r="M730" s="783" t="s">
        <v>95</v>
      </c>
      <c r="N730" s="787"/>
      <c r="O730" s="787"/>
    </row>
    <row r="731" spans="2:15">
      <c r="C731" s="788">
        <f>IF(D725= "","-",D725)</f>
        <v>2014</v>
      </c>
      <c r="D731" s="736">
        <f>+D724</f>
        <v>6422010</v>
      </c>
      <c r="E731" s="789">
        <f>+I728/12*(12-D726)</f>
        <v>30581</v>
      </c>
      <c r="F731" s="736">
        <f>+D731-E731</f>
        <v>6391429</v>
      </c>
      <c r="G731" s="985">
        <f>+$I$96*((D731+F731)/2)+E731</f>
        <v>956376.52112312347</v>
      </c>
      <c r="H731" s="986">
        <f>$I$97*((D731+F731)/2)+E731</f>
        <v>956376.52112312347</v>
      </c>
      <c r="I731" s="792">
        <f>+H731-G731</f>
        <v>0</v>
      </c>
      <c r="J731" s="792"/>
      <c r="K731" s="811">
        <v>580874</v>
      </c>
      <c r="L731" s="793"/>
      <c r="M731" s="811">
        <v>580874</v>
      </c>
      <c r="N731" s="793"/>
      <c r="O731" s="793"/>
    </row>
    <row r="732" spans="2:15">
      <c r="C732" s="788">
        <f>IF(D725="","-",+C731+1)</f>
        <v>2015</v>
      </c>
      <c r="D732" s="736">
        <f t="shared" ref="D732:D790" si="42">F731</f>
        <v>6391429</v>
      </c>
      <c r="E732" s="789">
        <f>IF(D732&gt;$I$728,$I$728,D732)</f>
        <v>183486</v>
      </c>
      <c r="F732" s="736">
        <f t="shared" ref="F732:F790" si="43">+D732-E732</f>
        <v>6207943</v>
      </c>
      <c r="G732" s="794">
        <f t="shared" ref="G732:G790" si="44">+$I$96*((D732+F732)/2)+E732</f>
        <v>1093814.7701735725</v>
      </c>
      <c r="H732" s="795">
        <f t="shared" ref="H732:H790" si="45">$I$97*((D732+F732)/2)+E732</f>
        <v>1093814.7701735725</v>
      </c>
      <c r="I732" s="792">
        <f t="shared" ref="I732:I790" si="46">+H732-G732</f>
        <v>0</v>
      </c>
      <c r="J732" s="792"/>
      <c r="K732" s="812">
        <v>774598</v>
      </c>
      <c r="L732" s="796"/>
      <c r="M732" s="812">
        <v>774598</v>
      </c>
      <c r="N732" s="796"/>
      <c r="O732" s="796"/>
    </row>
    <row r="733" spans="2:15">
      <c r="C733" s="788">
        <f>IF(D725="","-",+C732+1)</f>
        <v>2016</v>
      </c>
      <c r="D733" s="736">
        <f t="shared" si="42"/>
        <v>6207943</v>
      </c>
      <c r="E733" s="789">
        <f t="shared" ref="E733:E790" si="47">IF(D733&gt;$I$728,$I$728,D733)</f>
        <v>183486</v>
      </c>
      <c r="F733" s="736">
        <f t="shared" si="43"/>
        <v>6024457</v>
      </c>
      <c r="G733" s="794">
        <f t="shared" si="44"/>
        <v>1067300.3399743424</v>
      </c>
      <c r="H733" s="795">
        <f t="shared" si="45"/>
        <v>1067300.3399743424</v>
      </c>
      <c r="I733" s="792">
        <f t="shared" si="46"/>
        <v>0</v>
      </c>
      <c r="J733" s="792"/>
      <c r="K733" s="812">
        <v>868128</v>
      </c>
      <c r="L733" s="796"/>
      <c r="M733" s="812">
        <v>868128</v>
      </c>
      <c r="N733" s="796"/>
      <c r="O733" s="796"/>
    </row>
    <row r="734" spans="2:15">
      <c r="C734" s="788">
        <f>IF(D725="","-",+C733+1)</f>
        <v>2017</v>
      </c>
      <c r="D734" s="736">
        <f t="shared" si="42"/>
        <v>6024457</v>
      </c>
      <c r="E734" s="789">
        <f t="shared" si="47"/>
        <v>183486</v>
      </c>
      <c r="F734" s="736">
        <f t="shared" si="43"/>
        <v>5840971</v>
      </c>
      <c r="G734" s="794">
        <f t="shared" si="44"/>
        <v>1040785.9097751119</v>
      </c>
      <c r="H734" s="795">
        <f t="shared" si="45"/>
        <v>1040785.9097751119</v>
      </c>
      <c r="I734" s="792">
        <f t="shared" si="46"/>
        <v>0</v>
      </c>
      <c r="J734" s="792"/>
      <c r="K734" s="812">
        <v>1103628</v>
      </c>
      <c r="L734" s="796"/>
      <c r="M734" s="812">
        <v>1103628</v>
      </c>
      <c r="N734" s="796"/>
      <c r="O734" s="796"/>
    </row>
    <row r="735" spans="2:15">
      <c r="C735" s="1312">
        <f>IF(D725="","-",+C734+1)</f>
        <v>2018</v>
      </c>
      <c r="D735" s="736">
        <f t="shared" si="42"/>
        <v>5840971</v>
      </c>
      <c r="E735" s="789">
        <f t="shared" si="47"/>
        <v>183486</v>
      </c>
      <c r="F735" s="736">
        <f t="shared" si="43"/>
        <v>5657485</v>
      </c>
      <c r="G735" s="794">
        <f t="shared" si="44"/>
        <v>1014271.4795758817</v>
      </c>
      <c r="H735" s="795">
        <f t="shared" si="45"/>
        <v>1014271.4795758817</v>
      </c>
      <c r="I735" s="792">
        <f t="shared" si="46"/>
        <v>0</v>
      </c>
      <c r="J735" s="792"/>
      <c r="K735" s="812">
        <v>983699</v>
      </c>
      <c r="L735" s="796"/>
      <c r="M735" s="812">
        <v>983699</v>
      </c>
      <c r="N735" s="796"/>
      <c r="O735" s="796"/>
    </row>
    <row r="736" spans="2:15">
      <c r="C736" s="1290">
        <f>IF(D725="","-",+C735+1)</f>
        <v>2019</v>
      </c>
      <c r="D736" s="736">
        <f t="shared" si="42"/>
        <v>5657485</v>
      </c>
      <c r="E736" s="789">
        <f t="shared" si="47"/>
        <v>183486</v>
      </c>
      <c r="F736" s="736">
        <f t="shared" si="43"/>
        <v>5473999</v>
      </c>
      <c r="G736" s="794">
        <f t="shared" si="44"/>
        <v>987757.04937665141</v>
      </c>
      <c r="H736" s="795">
        <f t="shared" si="45"/>
        <v>987757.04937665141</v>
      </c>
      <c r="I736" s="792">
        <f t="shared" si="46"/>
        <v>0</v>
      </c>
      <c r="J736" s="792"/>
      <c r="K736" s="812"/>
      <c r="L736" s="796"/>
      <c r="M736" s="812"/>
      <c r="N736" s="796"/>
      <c r="O736" s="796"/>
    </row>
    <row r="737" spans="3:15">
      <c r="C737" s="788">
        <f>IF(D725="","-",+C736+1)</f>
        <v>2020</v>
      </c>
      <c r="D737" s="736">
        <f t="shared" si="42"/>
        <v>5473999</v>
      </c>
      <c r="E737" s="789">
        <f t="shared" si="47"/>
        <v>183486</v>
      </c>
      <c r="F737" s="736">
        <f t="shared" si="43"/>
        <v>5290513</v>
      </c>
      <c r="G737" s="794">
        <f t="shared" si="44"/>
        <v>961242.61917742121</v>
      </c>
      <c r="H737" s="795">
        <f t="shared" si="45"/>
        <v>961242.61917742121</v>
      </c>
      <c r="I737" s="792">
        <f t="shared" si="46"/>
        <v>0</v>
      </c>
      <c r="J737" s="792"/>
      <c r="K737" s="812"/>
      <c r="L737" s="796"/>
      <c r="M737" s="812"/>
      <c r="N737" s="796"/>
      <c r="O737" s="796"/>
    </row>
    <row r="738" spans="3:15">
      <c r="C738" s="788">
        <f>IF(D725="","-",+C737+1)</f>
        <v>2021</v>
      </c>
      <c r="D738" s="736">
        <f t="shared" si="42"/>
        <v>5290513</v>
      </c>
      <c r="E738" s="789">
        <f t="shared" si="47"/>
        <v>183486</v>
      </c>
      <c r="F738" s="736">
        <f t="shared" si="43"/>
        <v>5107027</v>
      </c>
      <c r="G738" s="794">
        <f t="shared" si="44"/>
        <v>934728.18897819088</v>
      </c>
      <c r="H738" s="795">
        <f t="shared" si="45"/>
        <v>934728.18897819088</v>
      </c>
      <c r="I738" s="792">
        <f t="shared" si="46"/>
        <v>0</v>
      </c>
      <c r="J738" s="792"/>
      <c r="K738" s="812"/>
      <c r="L738" s="796"/>
      <c r="M738" s="812"/>
      <c r="N738" s="796"/>
      <c r="O738" s="796"/>
    </row>
    <row r="739" spans="3:15">
      <c r="C739" s="788">
        <f>IF(D725="","-",+C738+1)</f>
        <v>2022</v>
      </c>
      <c r="D739" s="736">
        <f t="shared" si="42"/>
        <v>5107027</v>
      </c>
      <c r="E739" s="789">
        <f t="shared" si="47"/>
        <v>183486</v>
      </c>
      <c r="F739" s="736">
        <f t="shared" si="43"/>
        <v>4923541</v>
      </c>
      <c r="G739" s="794">
        <f t="shared" si="44"/>
        <v>908213.75877896068</v>
      </c>
      <c r="H739" s="795">
        <f t="shared" si="45"/>
        <v>908213.75877896068</v>
      </c>
      <c r="I739" s="792">
        <f t="shared" si="46"/>
        <v>0</v>
      </c>
      <c r="J739" s="792"/>
      <c r="K739" s="812"/>
      <c r="L739" s="796"/>
      <c r="M739" s="812"/>
      <c r="N739" s="796"/>
      <c r="O739" s="796"/>
    </row>
    <row r="740" spans="3:15">
      <c r="C740" s="788">
        <f>IF(D725="","-",+C739+1)</f>
        <v>2023</v>
      </c>
      <c r="D740" s="736">
        <f t="shared" si="42"/>
        <v>4923541</v>
      </c>
      <c r="E740" s="789">
        <f t="shared" si="47"/>
        <v>183486</v>
      </c>
      <c r="F740" s="736">
        <f t="shared" si="43"/>
        <v>4740055</v>
      </c>
      <c r="G740" s="794">
        <f t="shared" si="44"/>
        <v>881699.32857973035</v>
      </c>
      <c r="H740" s="795">
        <f t="shared" si="45"/>
        <v>881699.32857973035</v>
      </c>
      <c r="I740" s="792">
        <f t="shared" si="46"/>
        <v>0</v>
      </c>
      <c r="J740" s="792"/>
      <c r="K740" s="812"/>
      <c r="L740" s="796"/>
      <c r="M740" s="812"/>
      <c r="N740" s="796"/>
      <c r="O740" s="796"/>
    </row>
    <row r="741" spans="3:15">
      <c r="C741" s="788">
        <f>IF(D725="","-",+C740+1)</f>
        <v>2024</v>
      </c>
      <c r="D741" s="736">
        <f t="shared" si="42"/>
        <v>4740055</v>
      </c>
      <c r="E741" s="789">
        <f t="shared" si="47"/>
        <v>183486</v>
      </c>
      <c r="F741" s="736">
        <f t="shared" si="43"/>
        <v>4556569</v>
      </c>
      <c r="G741" s="794">
        <f t="shared" si="44"/>
        <v>855184.89838050015</v>
      </c>
      <c r="H741" s="795">
        <f t="shared" si="45"/>
        <v>855184.89838050015</v>
      </c>
      <c r="I741" s="792">
        <f t="shared" si="46"/>
        <v>0</v>
      </c>
      <c r="J741" s="792"/>
      <c r="K741" s="812"/>
      <c r="L741" s="796"/>
      <c r="M741" s="812"/>
      <c r="N741" s="796"/>
      <c r="O741" s="796"/>
    </row>
    <row r="742" spans="3:15">
      <c r="C742" s="788">
        <f>IF(D725="","-",+C741+1)</f>
        <v>2025</v>
      </c>
      <c r="D742" s="736">
        <f t="shared" si="42"/>
        <v>4556569</v>
      </c>
      <c r="E742" s="789">
        <f t="shared" si="47"/>
        <v>183486</v>
      </c>
      <c r="F742" s="736">
        <f t="shared" si="43"/>
        <v>4373083</v>
      </c>
      <c r="G742" s="794">
        <f t="shared" si="44"/>
        <v>828670.46818126983</v>
      </c>
      <c r="H742" s="795">
        <f t="shared" si="45"/>
        <v>828670.46818126983</v>
      </c>
      <c r="I742" s="792">
        <f t="shared" si="46"/>
        <v>0</v>
      </c>
      <c r="J742" s="792"/>
      <c r="K742" s="812"/>
      <c r="L742" s="796"/>
      <c r="M742" s="812"/>
      <c r="N742" s="796"/>
      <c r="O742" s="796"/>
    </row>
    <row r="743" spans="3:15">
      <c r="C743" s="788">
        <f>IF(D725="","-",+C742+1)</f>
        <v>2026</v>
      </c>
      <c r="D743" s="736">
        <f t="shared" si="42"/>
        <v>4373083</v>
      </c>
      <c r="E743" s="789">
        <f t="shared" si="47"/>
        <v>183486</v>
      </c>
      <c r="F743" s="736">
        <f t="shared" si="43"/>
        <v>4189597</v>
      </c>
      <c r="G743" s="794">
        <f t="shared" si="44"/>
        <v>802156.03798203962</v>
      </c>
      <c r="H743" s="795">
        <f t="shared" si="45"/>
        <v>802156.03798203962</v>
      </c>
      <c r="I743" s="792">
        <f t="shared" si="46"/>
        <v>0</v>
      </c>
      <c r="J743" s="792"/>
      <c r="K743" s="812"/>
      <c r="L743" s="796"/>
      <c r="M743" s="812"/>
      <c r="N743" s="797"/>
      <c r="O743" s="796"/>
    </row>
    <row r="744" spans="3:15">
      <c r="C744" s="788">
        <f>IF(D725="","-",+C743+1)</f>
        <v>2027</v>
      </c>
      <c r="D744" s="736">
        <f t="shared" si="42"/>
        <v>4189597</v>
      </c>
      <c r="E744" s="789">
        <f t="shared" si="47"/>
        <v>183486</v>
      </c>
      <c r="F744" s="736">
        <f t="shared" si="43"/>
        <v>4006111</v>
      </c>
      <c r="G744" s="794">
        <f t="shared" si="44"/>
        <v>775641.6077828093</v>
      </c>
      <c r="H744" s="795">
        <f t="shared" si="45"/>
        <v>775641.6077828093</v>
      </c>
      <c r="I744" s="792">
        <f t="shared" si="46"/>
        <v>0</v>
      </c>
      <c r="J744" s="792"/>
      <c r="K744" s="812"/>
      <c r="L744" s="796"/>
      <c r="M744" s="812"/>
      <c r="N744" s="796"/>
      <c r="O744" s="796"/>
    </row>
    <row r="745" spans="3:15">
      <c r="C745" s="788">
        <f>IF(D725="","-",+C744+1)</f>
        <v>2028</v>
      </c>
      <c r="D745" s="736">
        <f t="shared" si="42"/>
        <v>4006111</v>
      </c>
      <c r="E745" s="789">
        <f t="shared" si="47"/>
        <v>183486</v>
      </c>
      <c r="F745" s="736">
        <f t="shared" si="43"/>
        <v>3822625</v>
      </c>
      <c r="G745" s="794">
        <f t="shared" si="44"/>
        <v>749127.17758357897</v>
      </c>
      <c r="H745" s="795">
        <f t="shared" si="45"/>
        <v>749127.17758357897</v>
      </c>
      <c r="I745" s="792">
        <f t="shared" si="46"/>
        <v>0</v>
      </c>
      <c r="J745" s="792"/>
      <c r="K745" s="812"/>
      <c r="L745" s="796"/>
      <c r="M745" s="812"/>
      <c r="N745" s="796"/>
      <c r="O745" s="796"/>
    </row>
    <row r="746" spans="3:15">
      <c r="C746" s="788">
        <f>IF(D725="","-",+C745+1)</f>
        <v>2029</v>
      </c>
      <c r="D746" s="736">
        <f t="shared" si="42"/>
        <v>3822625</v>
      </c>
      <c r="E746" s="789">
        <f t="shared" si="47"/>
        <v>183486</v>
      </c>
      <c r="F746" s="736">
        <f t="shared" si="43"/>
        <v>3639139</v>
      </c>
      <c r="G746" s="794">
        <f t="shared" si="44"/>
        <v>722612.74738434877</v>
      </c>
      <c r="H746" s="795">
        <f t="shared" si="45"/>
        <v>722612.74738434877</v>
      </c>
      <c r="I746" s="792">
        <f t="shared" si="46"/>
        <v>0</v>
      </c>
      <c r="J746" s="792"/>
      <c r="K746" s="812"/>
      <c r="L746" s="796"/>
      <c r="M746" s="812"/>
      <c r="N746" s="796"/>
      <c r="O746" s="796"/>
    </row>
    <row r="747" spans="3:15">
      <c r="C747" s="788">
        <f>IF(D725="","-",+C746+1)</f>
        <v>2030</v>
      </c>
      <c r="D747" s="736">
        <f t="shared" si="42"/>
        <v>3639139</v>
      </c>
      <c r="E747" s="789">
        <f t="shared" si="47"/>
        <v>183486</v>
      </c>
      <c r="F747" s="736">
        <f t="shared" si="43"/>
        <v>3455653</v>
      </c>
      <c r="G747" s="794">
        <f t="shared" si="44"/>
        <v>696098.31718511856</v>
      </c>
      <c r="H747" s="795">
        <f t="shared" si="45"/>
        <v>696098.31718511856</v>
      </c>
      <c r="I747" s="792">
        <f t="shared" si="46"/>
        <v>0</v>
      </c>
      <c r="J747" s="792"/>
      <c r="K747" s="812"/>
      <c r="L747" s="796"/>
      <c r="M747" s="812"/>
      <c r="N747" s="796"/>
      <c r="O747" s="796"/>
    </row>
    <row r="748" spans="3:15">
      <c r="C748" s="788">
        <f>IF(D725="","-",+C747+1)</f>
        <v>2031</v>
      </c>
      <c r="D748" s="736">
        <f t="shared" si="42"/>
        <v>3455653</v>
      </c>
      <c r="E748" s="789">
        <f t="shared" si="47"/>
        <v>183486</v>
      </c>
      <c r="F748" s="736">
        <f t="shared" si="43"/>
        <v>3272167</v>
      </c>
      <c r="G748" s="794">
        <f t="shared" si="44"/>
        <v>669583.88698588824</v>
      </c>
      <c r="H748" s="795">
        <f t="shared" si="45"/>
        <v>669583.88698588824</v>
      </c>
      <c r="I748" s="792">
        <f t="shared" si="46"/>
        <v>0</v>
      </c>
      <c r="J748" s="792"/>
      <c r="K748" s="812"/>
      <c r="L748" s="796"/>
      <c r="M748" s="812"/>
      <c r="N748" s="796"/>
      <c r="O748" s="796"/>
    </row>
    <row r="749" spans="3:15">
      <c r="C749" s="788">
        <f>IF(D725="","-",+C748+1)</f>
        <v>2032</v>
      </c>
      <c r="D749" s="736">
        <f t="shared" si="42"/>
        <v>3272167</v>
      </c>
      <c r="E749" s="789">
        <f t="shared" si="47"/>
        <v>183486</v>
      </c>
      <c r="F749" s="736">
        <f t="shared" si="43"/>
        <v>3088681</v>
      </c>
      <c r="G749" s="794">
        <f t="shared" si="44"/>
        <v>643069.45678665792</v>
      </c>
      <c r="H749" s="795">
        <f t="shared" si="45"/>
        <v>643069.45678665792</v>
      </c>
      <c r="I749" s="792">
        <f t="shared" si="46"/>
        <v>0</v>
      </c>
      <c r="J749" s="792"/>
      <c r="K749" s="812"/>
      <c r="L749" s="796"/>
      <c r="M749" s="812"/>
      <c r="N749" s="796"/>
      <c r="O749" s="796"/>
    </row>
    <row r="750" spans="3:15">
      <c r="C750" s="788">
        <f>IF(D725="","-",+C749+1)</f>
        <v>2033</v>
      </c>
      <c r="D750" s="736">
        <f t="shared" si="42"/>
        <v>3088681</v>
      </c>
      <c r="E750" s="789">
        <f t="shared" si="47"/>
        <v>183486</v>
      </c>
      <c r="F750" s="736">
        <f t="shared" si="43"/>
        <v>2905195</v>
      </c>
      <c r="G750" s="794">
        <f t="shared" si="44"/>
        <v>616555.02658742771</v>
      </c>
      <c r="H750" s="795">
        <f t="shared" si="45"/>
        <v>616555.02658742771</v>
      </c>
      <c r="I750" s="792">
        <f t="shared" si="46"/>
        <v>0</v>
      </c>
      <c r="J750" s="792"/>
      <c r="K750" s="812"/>
      <c r="L750" s="796"/>
      <c r="M750" s="812"/>
      <c r="N750" s="796"/>
      <c r="O750" s="796"/>
    </row>
    <row r="751" spans="3:15">
      <c r="C751" s="788">
        <f>IF(D725="","-",+C750+1)</f>
        <v>2034</v>
      </c>
      <c r="D751" s="736">
        <f t="shared" si="42"/>
        <v>2905195</v>
      </c>
      <c r="E751" s="789">
        <f t="shared" si="47"/>
        <v>183486</v>
      </c>
      <c r="F751" s="736">
        <f t="shared" si="43"/>
        <v>2721709</v>
      </c>
      <c r="G751" s="794">
        <f t="shared" si="44"/>
        <v>590040.5963881975</v>
      </c>
      <c r="H751" s="795">
        <f t="shared" si="45"/>
        <v>590040.5963881975</v>
      </c>
      <c r="I751" s="792">
        <f t="shared" si="46"/>
        <v>0</v>
      </c>
      <c r="J751" s="792"/>
      <c r="K751" s="812"/>
      <c r="L751" s="796"/>
      <c r="M751" s="812"/>
      <c r="N751" s="796"/>
      <c r="O751" s="796"/>
    </row>
    <row r="752" spans="3:15">
      <c r="C752" s="788">
        <f>IF(D725="","-",+C751+1)</f>
        <v>2035</v>
      </c>
      <c r="D752" s="736">
        <f t="shared" si="42"/>
        <v>2721709</v>
      </c>
      <c r="E752" s="789">
        <f t="shared" si="47"/>
        <v>183486</v>
      </c>
      <c r="F752" s="736">
        <f t="shared" si="43"/>
        <v>2538223</v>
      </c>
      <c r="G752" s="794">
        <f t="shared" si="44"/>
        <v>563526.16618896718</v>
      </c>
      <c r="H752" s="795">
        <f t="shared" si="45"/>
        <v>563526.16618896718</v>
      </c>
      <c r="I752" s="792">
        <f t="shared" si="46"/>
        <v>0</v>
      </c>
      <c r="J752" s="792"/>
      <c r="K752" s="812"/>
      <c r="L752" s="796"/>
      <c r="M752" s="812"/>
      <c r="N752" s="796"/>
      <c r="O752" s="796"/>
    </row>
    <row r="753" spans="3:15">
      <c r="C753" s="788">
        <f>IF(D725="","-",+C752+1)</f>
        <v>2036</v>
      </c>
      <c r="D753" s="736">
        <f t="shared" si="42"/>
        <v>2538223</v>
      </c>
      <c r="E753" s="789">
        <f t="shared" si="47"/>
        <v>183486</v>
      </c>
      <c r="F753" s="736">
        <f t="shared" si="43"/>
        <v>2354737</v>
      </c>
      <c r="G753" s="794">
        <f t="shared" si="44"/>
        <v>537011.73598973686</v>
      </c>
      <c r="H753" s="795">
        <f t="shared" si="45"/>
        <v>537011.73598973686</v>
      </c>
      <c r="I753" s="792">
        <f t="shared" si="46"/>
        <v>0</v>
      </c>
      <c r="J753" s="792"/>
      <c r="K753" s="812"/>
      <c r="L753" s="796"/>
      <c r="M753" s="812"/>
      <c r="N753" s="796"/>
      <c r="O753" s="796"/>
    </row>
    <row r="754" spans="3:15">
      <c r="C754" s="788">
        <f>IF(D725="","-",+C753+1)</f>
        <v>2037</v>
      </c>
      <c r="D754" s="736">
        <f t="shared" si="42"/>
        <v>2354737</v>
      </c>
      <c r="E754" s="789">
        <f t="shared" si="47"/>
        <v>183486</v>
      </c>
      <c r="F754" s="736">
        <f t="shared" si="43"/>
        <v>2171251</v>
      </c>
      <c r="G754" s="794">
        <f t="shared" si="44"/>
        <v>510497.30579050665</v>
      </c>
      <c r="H754" s="795">
        <f t="shared" si="45"/>
        <v>510497.30579050665</v>
      </c>
      <c r="I754" s="792">
        <f t="shared" si="46"/>
        <v>0</v>
      </c>
      <c r="J754" s="792"/>
      <c r="K754" s="812"/>
      <c r="L754" s="796"/>
      <c r="M754" s="812"/>
      <c r="N754" s="796"/>
      <c r="O754" s="796"/>
    </row>
    <row r="755" spans="3:15">
      <c r="C755" s="788">
        <f>IF(D725="","-",+C754+1)</f>
        <v>2038</v>
      </c>
      <c r="D755" s="736">
        <f t="shared" si="42"/>
        <v>2171251</v>
      </c>
      <c r="E755" s="789">
        <f t="shared" si="47"/>
        <v>183486</v>
      </c>
      <c r="F755" s="736">
        <f t="shared" si="43"/>
        <v>1987765</v>
      </c>
      <c r="G755" s="794">
        <f t="shared" si="44"/>
        <v>483982.87559127633</v>
      </c>
      <c r="H755" s="795">
        <f t="shared" si="45"/>
        <v>483982.87559127633</v>
      </c>
      <c r="I755" s="792">
        <f t="shared" si="46"/>
        <v>0</v>
      </c>
      <c r="J755" s="792"/>
      <c r="K755" s="812"/>
      <c r="L755" s="796"/>
      <c r="M755" s="812"/>
      <c r="N755" s="796"/>
      <c r="O755" s="796"/>
    </row>
    <row r="756" spans="3:15">
      <c r="C756" s="788">
        <f>IF(D725="","-",+C755+1)</f>
        <v>2039</v>
      </c>
      <c r="D756" s="736">
        <f t="shared" si="42"/>
        <v>1987765</v>
      </c>
      <c r="E756" s="789">
        <f t="shared" si="47"/>
        <v>183486</v>
      </c>
      <c r="F756" s="736">
        <f t="shared" si="43"/>
        <v>1804279</v>
      </c>
      <c r="G756" s="794">
        <f t="shared" si="44"/>
        <v>457468.44539204607</v>
      </c>
      <c r="H756" s="795">
        <f t="shared" si="45"/>
        <v>457468.44539204607</v>
      </c>
      <c r="I756" s="792">
        <f t="shared" si="46"/>
        <v>0</v>
      </c>
      <c r="J756" s="792"/>
      <c r="K756" s="812"/>
      <c r="L756" s="796"/>
      <c r="M756" s="812"/>
      <c r="N756" s="796"/>
      <c r="O756" s="796"/>
    </row>
    <row r="757" spans="3:15">
      <c r="C757" s="788">
        <f>IF(D725="","-",+C756+1)</f>
        <v>2040</v>
      </c>
      <c r="D757" s="736">
        <f t="shared" si="42"/>
        <v>1804279</v>
      </c>
      <c r="E757" s="789">
        <f t="shared" si="47"/>
        <v>183486</v>
      </c>
      <c r="F757" s="736">
        <f t="shared" si="43"/>
        <v>1620793</v>
      </c>
      <c r="G757" s="794">
        <f t="shared" si="44"/>
        <v>430954.0151928158</v>
      </c>
      <c r="H757" s="795">
        <f t="shared" si="45"/>
        <v>430954.0151928158</v>
      </c>
      <c r="I757" s="792">
        <f t="shared" si="46"/>
        <v>0</v>
      </c>
      <c r="J757" s="792"/>
      <c r="K757" s="812"/>
      <c r="L757" s="796"/>
      <c r="M757" s="812"/>
      <c r="N757" s="796"/>
      <c r="O757" s="796"/>
    </row>
    <row r="758" spans="3:15">
      <c r="C758" s="788">
        <f>IF(D725="","-",+C757+1)</f>
        <v>2041</v>
      </c>
      <c r="D758" s="736">
        <f t="shared" si="42"/>
        <v>1620793</v>
      </c>
      <c r="E758" s="789">
        <f t="shared" si="47"/>
        <v>183486</v>
      </c>
      <c r="F758" s="736">
        <f t="shared" si="43"/>
        <v>1437307</v>
      </c>
      <c r="G758" s="794">
        <f t="shared" si="44"/>
        <v>404439.58499358559</v>
      </c>
      <c r="H758" s="795">
        <f t="shared" si="45"/>
        <v>404439.58499358559</v>
      </c>
      <c r="I758" s="792">
        <f t="shared" si="46"/>
        <v>0</v>
      </c>
      <c r="J758" s="792"/>
      <c r="K758" s="812"/>
      <c r="L758" s="796"/>
      <c r="M758" s="812"/>
      <c r="N758" s="796"/>
      <c r="O758" s="796"/>
    </row>
    <row r="759" spans="3:15">
      <c r="C759" s="788">
        <f>IF(D725="","-",+C758+1)</f>
        <v>2042</v>
      </c>
      <c r="D759" s="736">
        <f t="shared" si="42"/>
        <v>1437307</v>
      </c>
      <c r="E759" s="789">
        <f t="shared" si="47"/>
        <v>183486</v>
      </c>
      <c r="F759" s="736">
        <f t="shared" si="43"/>
        <v>1253821</v>
      </c>
      <c r="G759" s="790">
        <f t="shared" si="44"/>
        <v>377925.15479435527</v>
      </c>
      <c r="H759" s="795">
        <f t="shared" si="45"/>
        <v>377925.15479435527</v>
      </c>
      <c r="I759" s="792">
        <f t="shared" si="46"/>
        <v>0</v>
      </c>
      <c r="J759" s="792"/>
      <c r="K759" s="812"/>
      <c r="L759" s="796"/>
      <c r="M759" s="812"/>
      <c r="N759" s="796"/>
      <c r="O759" s="796"/>
    </row>
    <row r="760" spans="3:15">
      <c r="C760" s="788">
        <f>IF(D725="","-",+C759+1)</f>
        <v>2043</v>
      </c>
      <c r="D760" s="736">
        <f t="shared" si="42"/>
        <v>1253821</v>
      </c>
      <c r="E760" s="789">
        <f t="shared" si="47"/>
        <v>183486</v>
      </c>
      <c r="F760" s="736">
        <f t="shared" si="43"/>
        <v>1070335</v>
      </c>
      <c r="G760" s="794">
        <f t="shared" si="44"/>
        <v>351410.72459512507</v>
      </c>
      <c r="H760" s="795">
        <f t="shared" si="45"/>
        <v>351410.72459512507</v>
      </c>
      <c r="I760" s="792">
        <f t="shared" si="46"/>
        <v>0</v>
      </c>
      <c r="J760" s="792"/>
      <c r="K760" s="812"/>
      <c r="L760" s="796"/>
      <c r="M760" s="812"/>
      <c r="N760" s="796"/>
      <c r="O760" s="796"/>
    </row>
    <row r="761" spans="3:15">
      <c r="C761" s="788">
        <f>IF(D725="","-",+C760+1)</f>
        <v>2044</v>
      </c>
      <c r="D761" s="736">
        <f t="shared" si="42"/>
        <v>1070335</v>
      </c>
      <c r="E761" s="789">
        <f t="shared" si="47"/>
        <v>183486</v>
      </c>
      <c r="F761" s="736">
        <f t="shared" si="43"/>
        <v>886849</v>
      </c>
      <c r="G761" s="794">
        <f t="shared" si="44"/>
        <v>324896.29439589474</v>
      </c>
      <c r="H761" s="795">
        <f t="shared" si="45"/>
        <v>324896.29439589474</v>
      </c>
      <c r="I761" s="792">
        <f t="shared" si="46"/>
        <v>0</v>
      </c>
      <c r="J761" s="792"/>
      <c r="K761" s="812"/>
      <c r="L761" s="796"/>
      <c r="M761" s="812"/>
      <c r="N761" s="796"/>
      <c r="O761" s="796"/>
    </row>
    <row r="762" spans="3:15">
      <c r="C762" s="788">
        <f>IF(D725="","-",+C761+1)</f>
        <v>2045</v>
      </c>
      <c r="D762" s="736">
        <f t="shared" si="42"/>
        <v>886849</v>
      </c>
      <c r="E762" s="789">
        <f t="shared" si="47"/>
        <v>183486</v>
      </c>
      <c r="F762" s="736">
        <f t="shared" si="43"/>
        <v>703363</v>
      </c>
      <c r="G762" s="794">
        <f t="shared" si="44"/>
        <v>298381.86419666448</v>
      </c>
      <c r="H762" s="795">
        <f t="shared" si="45"/>
        <v>298381.86419666448</v>
      </c>
      <c r="I762" s="792">
        <f t="shared" si="46"/>
        <v>0</v>
      </c>
      <c r="J762" s="792"/>
      <c r="K762" s="812"/>
      <c r="L762" s="796"/>
      <c r="M762" s="812"/>
      <c r="N762" s="796"/>
      <c r="O762" s="796"/>
    </row>
    <row r="763" spans="3:15">
      <c r="C763" s="788">
        <f>IF(D725="","-",+C762+1)</f>
        <v>2046</v>
      </c>
      <c r="D763" s="736">
        <f t="shared" si="42"/>
        <v>703363</v>
      </c>
      <c r="E763" s="789">
        <f t="shared" si="47"/>
        <v>183486</v>
      </c>
      <c r="F763" s="736">
        <f t="shared" si="43"/>
        <v>519877</v>
      </c>
      <c r="G763" s="794">
        <f t="shared" si="44"/>
        <v>271867.43399743421</v>
      </c>
      <c r="H763" s="795">
        <f t="shared" si="45"/>
        <v>271867.43399743421</v>
      </c>
      <c r="I763" s="792">
        <f t="shared" si="46"/>
        <v>0</v>
      </c>
      <c r="J763" s="792"/>
      <c r="K763" s="812"/>
      <c r="L763" s="796"/>
      <c r="M763" s="812"/>
      <c r="N763" s="796"/>
      <c r="O763" s="796"/>
    </row>
    <row r="764" spans="3:15">
      <c r="C764" s="788">
        <f>IF(D725="","-",+C763+1)</f>
        <v>2047</v>
      </c>
      <c r="D764" s="736">
        <f t="shared" si="42"/>
        <v>519877</v>
      </c>
      <c r="E764" s="789">
        <f t="shared" si="47"/>
        <v>183486</v>
      </c>
      <c r="F764" s="736">
        <f t="shared" si="43"/>
        <v>336391</v>
      </c>
      <c r="G764" s="794">
        <f t="shared" si="44"/>
        <v>245353.00379820395</v>
      </c>
      <c r="H764" s="795">
        <f t="shared" si="45"/>
        <v>245353.00379820395</v>
      </c>
      <c r="I764" s="792">
        <f t="shared" si="46"/>
        <v>0</v>
      </c>
      <c r="J764" s="792"/>
      <c r="K764" s="812"/>
      <c r="L764" s="796"/>
      <c r="M764" s="812"/>
      <c r="N764" s="796"/>
      <c r="O764" s="796"/>
    </row>
    <row r="765" spans="3:15">
      <c r="C765" s="788">
        <f>IF(D725="","-",+C764+1)</f>
        <v>2048</v>
      </c>
      <c r="D765" s="736">
        <f t="shared" si="42"/>
        <v>336391</v>
      </c>
      <c r="E765" s="789">
        <f t="shared" si="47"/>
        <v>183486</v>
      </c>
      <c r="F765" s="736">
        <f t="shared" si="43"/>
        <v>152905</v>
      </c>
      <c r="G765" s="794">
        <f t="shared" si="44"/>
        <v>218838.57359897369</v>
      </c>
      <c r="H765" s="795">
        <f t="shared" si="45"/>
        <v>218838.57359897369</v>
      </c>
      <c r="I765" s="792">
        <f t="shared" si="46"/>
        <v>0</v>
      </c>
      <c r="J765" s="792"/>
      <c r="K765" s="812"/>
      <c r="L765" s="796"/>
      <c r="M765" s="812"/>
      <c r="N765" s="796"/>
      <c r="O765" s="796"/>
    </row>
    <row r="766" spans="3:15">
      <c r="C766" s="788">
        <f>IF(D725="","-",+C765+1)</f>
        <v>2049</v>
      </c>
      <c r="D766" s="736">
        <f t="shared" si="42"/>
        <v>152905</v>
      </c>
      <c r="E766" s="789">
        <f t="shared" si="47"/>
        <v>152905</v>
      </c>
      <c r="F766" s="736">
        <f t="shared" si="43"/>
        <v>0</v>
      </c>
      <c r="G766" s="794">
        <f t="shared" si="44"/>
        <v>163952.67924967929</v>
      </c>
      <c r="H766" s="795">
        <f t="shared" si="45"/>
        <v>163952.67924967929</v>
      </c>
      <c r="I766" s="792">
        <f t="shared" si="46"/>
        <v>0</v>
      </c>
      <c r="J766" s="792"/>
      <c r="K766" s="812"/>
      <c r="L766" s="796"/>
      <c r="M766" s="812"/>
      <c r="N766" s="796"/>
      <c r="O766" s="796"/>
    </row>
    <row r="767" spans="3:15">
      <c r="C767" s="788">
        <f>IF(D725="","-",+C766+1)</f>
        <v>2050</v>
      </c>
      <c r="D767" s="736">
        <f t="shared" si="42"/>
        <v>0</v>
      </c>
      <c r="E767" s="789">
        <f t="shared" si="47"/>
        <v>0</v>
      </c>
      <c r="F767" s="736">
        <f t="shared" si="43"/>
        <v>0</v>
      </c>
      <c r="G767" s="794">
        <f t="shared" si="44"/>
        <v>0</v>
      </c>
      <c r="H767" s="795">
        <f t="shared" si="45"/>
        <v>0</v>
      </c>
      <c r="I767" s="792">
        <f t="shared" si="46"/>
        <v>0</v>
      </c>
      <c r="J767" s="792"/>
      <c r="K767" s="812"/>
      <c r="L767" s="796"/>
      <c r="M767" s="812"/>
      <c r="N767" s="796"/>
      <c r="O767" s="796"/>
    </row>
    <row r="768" spans="3:15">
      <c r="C768" s="788">
        <f>IF(D725="","-",+C767+1)</f>
        <v>2051</v>
      </c>
      <c r="D768" s="736">
        <f t="shared" si="42"/>
        <v>0</v>
      </c>
      <c r="E768" s="789">
        <f t="shared" si="47"/>
        <v>0</v>
      </c>
      <c r="F768" s="736">
        <f t="shared" si="43"/>
        <v>0</v>
      </c>
      <c r="G768" s="794">
        <f t="shared" si="44"/>
        <v>0</v>
      </c>
      <c r="H768" s="795">
        <f t="shared" si="45"/>
        <v>0</v>
      </c>
      <c r="I768" s="792">
        <f t="shared" si="46"/>
        <v>0</v>
      </c>
      <c r="J768" s="792"/>
      <c r="K768" s="812"/>
      <c r="L768" s="796"/>
      <c r="M768" s="812"/>
      <c r="N768" s="796"/>
      <c r="O768" s="796"/>
    </row>
    <row r="769" spans="3:15">
      <c r="C769" s="788">
        <f>IF(D725="","-",+C768+1)</f>
        <v>2052</v>
      </c>
      <c r="D769" s="736">
        <f t="shared" si="42"/>
        <v>0</v>
      </c>
      <c r="E769" s="789">
        <f t="shared" si="47"/>
        <v>0</v>
      </c>
      <c r="F769" s="736">
        <f t="shared" si="43"/>
        <v>0</v>
      </c>
      <c r="G769" s="794">
        <f t="shared" si="44"/>
        <v>0</v>
      </c>
      <c r="H769" s="795">
        <f t="shared" si="45"/>
        <v>0</v>
      </c>
      <c r="I769" s="792">
        <f t="shared" si="46"/>
        <v>0</v>
      </c>
      <c r="J769" s="792"/>
      <c r="K769" s="812"/>
      <c r="L769" s="796"/>
      <c r="M769" s="812"/>
      <c r="N769" s="796"/>
      <c r="O769" s="796"/>
    </row>
    <row r="770" spans="3:15">
      <c r="C770" s="788">
        <f>IF(D725="","-",+C769+1)</f>
        <v>2053</v>
      </c>
      <c r="D770" s="736">
        <f t="shared" si="42"/>
        <v>0</v>
      </c>
      <c r="E770" s="789">
        <f t="shared" si="47"/>
        <v>0</v>
      </c>
      <c r="F770" s="736">
        <f t="shared" si="43"/>
        <v>0</v>
      </c>
      <c r="G770" s="794">
        <f t="shared" si="44"/>
        <v>0</v>
      </c>
      <c r="H770" s="795">
        <f t="shared" si="45"/>
        <v>0</v>
      </c>
      <c r="I770" s="792">
        <f t="shared" si="46"/>
        <v>0</v>
      </c>
      <c r="J770" s="792"/>
      <c r="K770" s="812"/>
      <c r="L770" s="796"/>
      <c r="M770" s="812"/>
      <c r="N770" s="796"/>
      <c r="O770" s="796"/>
    </row>
    <row r="771" spans="3:15">
      <c r="C771" s="788">
        <f>IF(D725="","-",+C770+1)</f>
        <v>2054</v>
      </c>
      <c r="D771" s="736">
        <f t="shared" si="42"/>
        <v>0</v>
      </c>
      <c r="E771" s="789">
        <f t="shared" si="47"/>
        <v>0</v>
      </c>
      <c r="F771" s="736">
        <f t="shared" si="43"/>
        <v>0</v>
      </c>
      <c r="G771" s="794">
        <f t="shared" si="44"/>
        <v>0</v>
      </c>
      <c r="H771" s="795">
        <f t="shared" si="45"/>
        <v>0</v>
      </c>
      <c r="I771" s="792">
        <f t="shared" si="46"/>
        <v>0</v>
      </c>
      <c r="J771" s="792"/>
      <c r="K771" s="812"/>
      <c r="L771" s="796"/>
      <c r="M771" s="812"/>
      <c r="N771" s="796"/>
      <c r="O771" s="796"/>
    </row>
    <row r="772" spans="3:15">
      <c r="C772" s="788">
        <f>IF(D725="","-",+C771+1)</f>
        <v>2055</v>
      </c>
      <c r="D772" s="736">
        <f t="shared" si="42"/>
        <v>0</v>
      </c>
      <c r="E772" s="789">
        <f t="shared" si="47"/>
        <v>0</v>
      </c>
      <c r="F772" s="736">
        <f t="shared" si="43"/>
        <v>0</v>
      </c>
      <c r="G772" s="794">
        <f t="shared" si="44"/>
        <v>0</v>
      </c>
      <c r="H772" s="795">
        <f t="shared" si="45"/>
        <v>0</v>
      </c>
      <c r="I772" s="792">
        <f t="shared" si="46"/>
        <v>0</v>
      </c>
      <c r="J772" s="792"/>
      <c r="K772" s="812"/>
      <c r="L772" s="796"/>
      <c r="M772" s="812"/>
      <c r="N772" s="796"/>
      <c r="O772" s="796"/>
    </row>
    <row r="773" spans="3:15">
      <c r="C773" s="788">
        <f>IF(D725="","-",+C772+1)</f>
        <v>2056</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2057</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2058</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2059</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2060</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2061</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2062</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2063</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2064</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2065</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2066</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2067</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2068</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2069</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2070</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2071</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2072</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2073</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83</v>
      </c>
      <c r="D791" s="730"/>
      <c r="E791" s="730">
        <f>SUM(E731:E790)</f>
        <v>6422010</v>
      </c>
      <c r="F791" s="730"/>
      <c r="G791" s="730">
        <f>SUM(G731:G790)</f>
        <v>23435436.044506088</v>
      </c>
      <c r="H791" s="730">
        <f>SUM(H731:H790)</f>
        <v>23435436.044506088</v>
      </c>
      <c r="I791" s="730">
        <f>SUM(I731:I790)</f>
        <v>0</v>
      </c>
      <c r="J791" s="730"/>
      <c r="K791" s="730"/>
      <c r="L791" s="730"/>
      <c r="M791" s="730"/>
      <c r="N791" s="730"/>
      <c r="O791" s="313"/>
    </row>
    <row r="792" spans="3:15">
      <c r="D792" s="538"/>
      <c r="E792" s="313"/>
      <c r="F792" s="313"/>
      <c r="G792" s="313"/>
      <c r="H792" s="708"/>
      <c r="I792" s="708"/>
      <c r="J792" s="730"/>
      <c r="K792" s="708"/>
      <c r="L792" s="708"/>
      <c r="M792" s="708"/>
      <c r="N792" s="708"/>
      <c r="O792" s="313"/>
    </row>
    <row r="793" spans="3:15">
      <c r="C793" s="313" t="s">
        <v>13</v>
      </c>
      <c r="D793" s="538"/>
      <c r="E793" s="313"/>
      <c r="F793" s="313"/>
      <c r="G793" s="313"/>
      <c r="H793" s="708"/>
      <c r="I793" s="708"/>
      <c r="J793" s="730"/>
      <c r="K793" s="708"/>
      <c r="L793" s="708"/>
      <c r="M793" s="708"/>
      <c r="N793" s="708"/>
      <c r="O793" s="313"/>
    </row>
    <row r="794" spans="3:15">
      <c r="C794" s="313"/>
      <c r="D794" s="538"/>
      <c r="E794" s="313"/>
      <c r="F794" s="313"/>
      <c r="G794" s="313"/>
      <c r="H794" s="708"/>
      <c r="I794" s="708"/>
      <c r="J794" s="730"/>
      <c r="K794" s="708"/>
      <c r="L794" s="708"/>
      <c r="M794" s="708"/>
      <c r="N794" s="708"/>
      <c r="O794" s="313"/>
    </row>
    <row r="795" spans="3:15">
      <c r="C795" s="749" t="s">
        <v>14</v>
      </c>
      <c r="D795" s="736"/>
      <c r="E795" s="736"/>
      <c r="F795" s="736"/>
      <c r="G795" s="730"/>
      <c r="H795" s="730"/>
      <c r="I795" s="804"/>
      <c r="J795" s="804"/>
      <c r="K795" s="804"/>
      <c r="L795" s="804"/>
      <c r="M795" s="804"/>
      <c r="N795" s="804"/>
      <c r="O795" s="313"/>
    </row>
    <row r="796" spans="3:15">
      <c r="C796" s="735" t="s">
        <v>263</v>
      </c>
      <c r="D796" s="736"/>
      <c r="E796" s="736"/>
      <c r="F796" s="736"/>
      <c r="G796" s="730"/>
      <c r="H796" s="730"/>
      <c r="I796" s="804"/>
      <c r="J796" s="804"/>
      <c r="K796" s="804"/>
      <c r="L796" s="804"/>
      <c r="M796" s="804"/>
      <c r="N796" s="804"/>
      <c r="O796" s="313"/>
    </row>
    <row r="797" spans="3:15">
      <c r="C797" s="735" t="s">
        <v>84</v>
      </c>
      <c r="D797" s="736"/>
      <c r="E797" s="736"/>
      <c r="F797" s="736"/>
      <c r="G797" s="730"/>
      <c r="H797" s="730"/>
      <c r="I797" s="804"/>
      <c r="J797" s="804"/>
      <c r="K797" s="804"/>
      <c r="L797" s="804"/>
      <c r="M797" s="804"/>
      <c r="N797" s="804"/>
      <c r="O797" s="313"/>
    </row>
    <row r="798" spans="3:15">
      <c r="C798" s="735"/>
      <c r="D798" s="736"/>
      <c r="E798" s="736"/>
      <c r="F798" s="736"/>
      <c r="G798" s="730"/>
      <c r="H798" s="730"/>
      <c r="I798" s="804"/>
      <c r="J798" s="804"/>
      <c r="K798" s="804"/>
      <c r="L798" s="804"/>
      <c r="M798" s="804"/>
      <c r="N798" s="804"/>
      <c r="O798" s="313"/>
    </row>
    <row r="799" spans="3:15">
      <c r="C799" s="1547" t="s">
        <v>6</v>
      </c>
      <c r="D799" s="1547"/>
      <c r="E799" s="1547"/>
      <c r="F799" s="1547"/>
      <c r="G799" s="1547"/>
      <c r="H799" s="1547"/>
      <c r="I799" s="1547"/>
      <c r="J799" s="1547"/>
      <c r="K799" s="1547"/>
      <c r="L799" s="1547"/>
      <c r="M799" s="1547"/>
      <c r="N799" s="1547"/>
      <c r="O799" s="1547"/>
    </row>
    <row r="800" spans="3:15">
      <c r="C800" s="1547"/>
      <c r="D800" s="1547"/>
      <c r="E800" s="1547"/>
      <c r="F800" s="1547"/>
      <c r="G800" s="1547"/>
      <c r="H800" s="1547"/>
      <c r="I800" s="1547"/>
      <c r="J800" s="1547"/>
      <c r="K800" s="1547"/>
      <c r="L800" s="1547"/>
      <c r="M800" s="1547"/>
      <c r="N800" s="1547"/>
      <c r="O800" s="1547"/>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7"/>
      <c r="C802" s="725"/>
      <c r="D802" s="538"/>
      <c r="E802" s="313"/>
      <c r="F802" s="707"/>
      <c r="G802" s="313"/>
      <c r="H802" s="708"/>
      <c r="K802" s="564"/>
      <c r="L802" s="564"/>
      <c r="M802" s="564"/>
      <c r="N802" s="653" t="str">
        <f>"Page "&amp;SUM(P$8:P802)&amp;" of "</f>
        <v xml:space="preserve">Page 10 of </v>
      </c>
      <c r="O802" s="654">
        <f>COUNT(P$8:P$56653)</f>
        <v>23</v>
      </c>
      <c r="P802" s="172">
        <v>1</v>
      </c>
    </row>
    <row r="803" spans="1:16">
      <c r="B803" s="347"/>
      <c r="C803" s="313"/>
      <c r="D803" s="538"/>
      <c r="E803" s="313"/>
      <c r="F803" s="313"/>
      <c r="G803" s="313"/>
      <c r="H803" s="708"/>
      <c r="I803" s="313"/>
      <c r="J803" s="426"/>
      <c r="K803" s="313"/>
      <c r="L803" s="313"/>
      <c r="M803" s="313"/>
      <c r="N803" s="313"/>
      <c r="O803" s="313"/>
    </row>
    <row r="804" spans="1:16" ht="18">
      <c r="B804" s="657" t="s">
        <v>466</v>
      </c>
      <c r="C804" s="739" t="s">
        <v>85</v>
      </c>
      <c r="D804" s="538"/>
      <c r="E804" s="313"/>
      <c r="F804" s="313"/>
      <c r="G804" s="313"/>
      <c r="H804" s="708"/>
      <c r="I804" s="708"/>
      <c r="J804" s="730"/>
      <c r="K804" s="708"/>
      <c r="L804" s="708"/>
      <c r="M804" s="708"/>
      <c r="N804" s="708"/>
      <c r="O804" s="313"/>
    </row>
    <row r="805" spans="1:16" ht="18.75">
      <c r="B805" s="657"/>
      <c r="C805" s="656"/>
      <c r="D805" s="538"/>
      <c r="E805" s="313"/>
      <c r="F805" s="313"/>
      <c r="G805" s="313"/>
      <c r="H805" s="708"/>
      <c r="I805" s="708"/>
      <c r="J805" s="730"/>
      <c r="K805" s="708"/>
      <c r="L805" s="708"/>
      <c r="M805" s="708"/>
      <c r="N805" s="708"/>
      <c r="O805" s="313"/>
    </row>
    <row r="806" spans="1:16" ht="18.75">
      <c r="B806" s="657"/>
      <c r="C806" s="656" t="s">
        <v>86</v>
      </c>
      <c r="D806" s="538"/>
      <c r="E806" s="313"/>
      <c r="F806" s="313"/>
      <c r="G806" s="313"/>
      <c r="H806" s="708"/>
      <c r="I806" s="708"/>
      <c r="J806" s="730"/>
      <c r="K806" s="708"/>
      <c r="L806" s="708"/>
      <c r="M806" s="708"/>
      <c r="N806" s="708"/>
      <c r="O806" s="313"/>
    </row>
    <row r="807" spans="1:16" ht="15.75" thickBot="1">
      <c r="C807" s="239"/>
      <c r="D807" s="538"/>
      <c r="E807" s="313"/>
      <c r="F807" s="313"/>
      <c r="G807" s="313"/>
      <c r="H807" s="708"/>
      <c r="I807" s="708"/>
      <c r="J807" s="730"/>
      <c r="K807" s="708"/>
      <c r="L807" s="708"/>
      <c r="M807" s="708"/>
      <c r="N807" s="708"/>
      <c r="O807" s="313"/>
    </row>
    <row r="808" spans="1:16" ht="15.75">
      <c r="C808" s="659" t="s">
        <v>87</v>
      </c>
      <c r="D808" s="538"/>
      <c r="E808" s="313"/>
      <c r="F808" s="313"/>
      <c r="G808" s="806"/>
      <c r="H808" s="313" t="s">
        <v>66</v>
      </c>
      <c r="I808" s="313"/>
      <c r="J808" s="426"/>
      <c r="K808" s="740" t="s">
        <v>91</v>
      </c>
      <c r="L808" s="741"/>
      <c r="M808" s="742"/>
      <c r="N808" s="743">
        <f>IF(I814=0,0,VLOOKUP(I814,C821:O880,5))</f>
        <v>1859965.0072332162</v>
      </c>
      <c r="O808" s="313"/>
    </row>
    <row r="809" spans="1:16" ht="15.75">
      <c r="C809" s="659"/>
      <c r="D809" s="538"/>
      <c r="E809" s="313"/>
      <c r="F809" s="313"/>
      <c r="G809" s="313"/>
      <c r="H809" s="744"/>
      <c r="I809" s="744"/>
      <c r="J809" s="745"/>
      <c r="K809" s="746" t="s">
        <v>92</v>
      </c>
      <c r="L809" s="747"/>
      <c r="M809" s="426"/>
      <c r="N809" s="748">
        <f>IF(I814=0,0,VLOOKUP(I814,C821:O880,6))</f>
        <v>1859965.0072332162</v>
      </c>
      <c r="O809" s="313"/>
    </row>
    <row r="810" spans="1:16" ht="13.5" thickBot="1">
      <c r="C810" s="749" t="s">
        <v>88</v>
      </c>
      <c r="D810" s="1537" t="s">
        <v>817</v>
      </c>
      <c r="E810" s="1537"/>
      <c r="F810" s="1537"/>
      <c r="G810" s="1537"/>
      <c r="H810" s="1537"/>
      <c r="I810" s="1537"/>
      <c r="J810" s="730"/>
      <c r="K810" s="750" t="s">
        <v>230</v>
      </c>
      <c r="L810" s="751"/>
      <c r="M810" s="751"/>
      <c r="N810" s="752">
        <f>+N809-N808</f>
        <v>0</v>
      </c>
      <c r="O810" s="313"/>
    </row>
    <row r="811" spans="1:16">
      <c r="C811" s="753"/>
      <c r="D811" s="754"/>
      <c r="E811" s="734"/>
      <c r="F811" s="734"/>
      <c r="G811" s="755"/>
      <c r="H811" s="708"/>
      <c r="I811" s="708"/>
      <c r="J811" s="730"/>
      <c r="K811" s="708"/>
      <c r="L811" s="708"/>
      <c r="M811" s="708"/>
      <c r="N811" s="708"/>
      <c r="O811" s="313"/>
    </row>
    <row r="812" spans="1:16" ht="13.5" thickBot="1">
      <c r="C812" s="756"/>
      <c r="D812" s="757"/>
      <c r="E812" s="755"/>
      <c r="F812" s="755"/>
      <c r="G812" s="755"/>
      <c r="H812" s="755"/>
      <c r="I812" s="755"/>
      <c r="J812" s="758"/>
      <c r="K812" s="755"/>
      <c r="L812" s="755"/>
      <c r="M812" s="755"/>
      <c r="N812" s="755"/>
      <c r="O812" s="347"/>
    </row>
    <row r="813" spans="1:16" ht="13.5" thickBot="1">
      <c r="C813" s="759" t="s">
        <v>89</v>
      </c>
      <c r="D813" s="760"/>
      <c r="E813" s="760"/>
      <c r="F813" s="760"/>
      <c r="G813" s="760"/>
      <c r="H813" s="760"/>
      <c r="I813" s="761"/>
      <c r="J813" s="762"/>
      <c r="K813" s="313"/>
      <c r="L813" s="313"/>
      <c r="M813" s="313"/>
      <c r="N813" s="313"/>
      <c r="O813" s="763"/>
    </row>
    <row r="814" spans="1:16" ht="15">
      <c r="C814" s="764" t="s">
        <v>67</v>
      </c>
      <c r="D814" s="808">
        <v>13479817</v>
      </c>
      <c r="E814" s="725" t="s">
        <v>68</v>
      </c>
      <c r="G814" s="765"/>
      <c r="H814" s="765"/>
      <c r="I814" s="766">
        <f>$L$26</f>
        <v>2023</v>
      </c>
      <c r="J814" s="554"/>
      <c r="K814" s="1536" t="s">
        <v>239</v>
      </c>
      <c r="L814" s="1536"/>
      <c r="M814" s="1536"/>
      <c r="N814" s="1536"/>
      <c r="O814" s="1536"/>
    </row>
    <row r="815" spans="1:16">
      <c r="C815" s="764" t="s">
        <v>70</v>
      </c>
      <c r="D815" s="809">
        <v>2014</v>
      </c>
      <c r="E815" s="764" t="s">
        <v>71</v>
      </c>
      <c r="F815" s="765"/>
      <c r="H815" s="172"/>
      <c r="I815" s="810">
        <f>IF(G808="",0,$F$17)</f>
        <v>0</v>
      </c>
      <c r="J815" s="767"/>
      <c r="K815" s="730" t="s">
        <v>239</v>
      </c>
    </row>
    <row r="816" spans="1:16">
      <c r="C816" s="764" t="s">
        <v>72</v>
      </c>
      <c r="D816" s="808">
        <v>12</v>
      </c>
      <c r="E816" s="764" t="s">
        <v>73</v>
      </c>
      <c r="F816" s="765"/>
      <c r="H816" s="172"/>
      <c r="I816" s="768">
        <f>$G$70</f>
        <v>0.14450383244078713</v>
      </c>
      <c r="J816" s="769"/>
      <c r="K816" s="172" t="str">
        <f>"          INPUT PROJECTED ARR (WITH &amp; WITHOUT INCENTIVES) FROM EACH PRIOR YEAR"</f>
        <v xml:space="preserve">          INPUT PROJECTED ARR (WITH &amp; WITHOUT INCENTIVES) FROM EACH PRIOR YEAR</v>
      </c>
    </row>
    <row r="817" spans="2:15">
      <c r="C817" s="764" t="s">
        <v>74</v>
      </c>
      <c r="D817" s="770">
        <f>$G$79</f>
        <v>35</v>
      </c>
      <c r="E817" s="764" t="s">
        <v>75</v>
      </c>
      <c r="F817" s="765"/>
      <c r="H817" s="172"/>
      <c r="I817" s="768">
        <f>IF(G808="",I816,$G$69)</f>
        <v>0.14450383244078713</v>
      </c>
      <c r="J817" s="771"/>
      <c r="K817" s="172" t="s">
        <v>152</v>
      </c>
    </row>
    <row r="818" spans="2:15" ht="13.5" thickBot="1">
      <c r="C818" s="764" t="s">
        <v>76</v>
      </c>
      <c r="D818" s="807" t="s">
        <v>808</v>
      </c>
      <c r="E818" s="772" t="s">
        <v>77</v>
      </c>
      <c r="F818" s="773"/>
      <c r="G818" s="774"/>
      <c r="H818" s="774"/>
      <c r="I818" s="752">
        <f>IF(D814=0,0,D814/D817)</f>
        <v>385137.62857142859</v>
      </c>
      <c r="J818" s="730"/>
      <c r="K818" s="730" t="s">
        <v>158</v>
      </c>
      <c r="L818" s="730"/>
      <c r="M818" s="730"/>
      <c r="N818" s="730"/>
      <c r="O818" s="426"/>
    </row>
    <row r="819" spans="2:15" ht="38.25">
      <c r="B819" s="845"/>
      <c r="C819" s="775" t="s">
        <v>67</v>
      </c>
      <c r="D819" s="776" t="s">
        <v>78</v>
      </c>
      <c r="E819" s="777" t="s">
        <v>79</v>
      </c>
      <c r="F819" s="776" t="s">
        <v>80</v>
      </c>
      <c r="G819" s="777" t="s">
        <v>151</v>
      </c>
      <c r="H819" s="778" t="s">
        <v>151</v>
      </c>
      <c r="I819" s="775" t="s">
        <v>90</v>
      </c>
      <c r="J819" s="779"/>
      <c r="K819" s="777" t="s">
        <v>160</v>
      </c>
      <c r="L819" s="780"/>
      <c r="M819" s="777" t="s">
        <v>160</v>
      </c>
      <c r="N819" s="780"/>
      <c r="O819" s="780"/>
    </row>
    <row r="820" spans="2:15" ht="13.5" thickBot="1">
      <c r="C820" s="781" t="s">
        <v>469</v>
      </c>
      <c r="D820" s="782" t="s">
        <v>470</v>
      </c>
      <c r="E820" s="781" t="s">
        <v>363</v>
      </c>
      <c r="F820" s="782" t="s">
        <v>470</v>
      </c>
      <c r="G820" s="783" t="s">
        <v>93</v>
      </c>
      <c r="H820" s="784" t="s">
        <v>95</v>
      </c>
      <c r="I820" s="785" t="s">
        <v>15</v>
      </c>
      <c r="J820" s="786"/>
      <c r="K820" s="783" t="s">
        <v>82</v>
      </c>
      <c r="L820" s="787"/>
      <c r="M820" s="783" t="s">
        <v>95</v>
      </c>
      <c r="N820" s="787"/>
      <c r="O820" s="787"/>
    </row>
    <row r="821" spans="2:15">
      <c r="C821" s="788">
        <f>IF(D815= "","-",D815)</f>
        <v>2014</v>
      </c>
      <c r="D821" s="736">
        <f>+D814</f>
        <v>13479817</v>
      </c>
      <c r="E821" s="789">
        <f>+I818/12*(12-D816)</f>
        <v>0</v>
      </c>
      <c r="F821" s="736">
        <f>+D821-E821</f>
        <v>13479817</v>
      </c>
      <c r="G821" s="985">
        <f>+$I$96*((D821+F821)/2)+E821</f>
        <v>1947885.2171004738</v>
      </c>
      <c r="H821" s="986">
        <f>$I$97*((D821+F821)/2)+E821</f>
        <v>1947885.2171004738</v>
      </c>
      <c r="I821" s="792">
        <f>+H821-G821</f>
        <v>0</v>
      </c>
      <c r="J821" s="792"/>
      <c r="K821" s="811">
        <v>1611055</v>
      </c>
      <c r="L821" s="793"/>
      <c r="M821" s="811">
        <v>1611055</v>
      </c>
      <c r="N821" s="793"/>
      <c r="O821" s="793"/>
    </row>
    <row r="822" spans="2:15">
      <c r="C822" s="788">
        <f>IF(D815="","-",+C821+1)</f>
        <v>2015</v>
      </c>
      <c r="D822" s="736">
        <f t="shared" ref="D822:D880" si="48">F821</f>
        <v>13479817</v>
      </c>
      <c r="E822" s="789">
        <f>IF(D822&gt;$I$818,$I$818,D822)</f>
        <v>385137.62857142859</v>
      </c>
      <c r="F822" s="736">
        <f t="shared" ref="F822:F880" si="49">+D822-E822</f>
        <v>13094679.371428572</v>
      </c>
      <c r="G822" s="794">
        <f t="shared" ref="G822:G880" si="50">+$I$96*((D822+F822)/2)+E822</f>
        <v>2305195.9139990387</v>
      </c>
      <c r="H822" s="795">
        <f t="shared" ref="H822:H880" si="51">$I$97*((D822+F822)/2)+E822</f>
        <v>2305195.9139990387</v>
      </c>
      <c r="I822" s="792">
        <f t="shared" ref="I822:I880" si="52">+H822-G822</f>
        <v>0</v>
      </c>
      <c r="J822" s="792"/>
      <c r="K822" s="812">
        <v>1730626</v>
      </c>
      <c r="L822" s="796"/>
      <c r="M822" s="812">
        <v>1730626</v>
      </c>
      <c r="N822" s="796"/>
      <c r="O822" s="796"/>
    </row>
    <row r="823" spans="2:15">
      <c r="C823" s="788">
        <f>IF(D815="","-",+C822+1)</f>
        <v>2016</v>
      </c>
      <c r="D823" s="736">
        <f t="shared" si="48"/>
        <v>13094679.371428572</v>
      </c>
      <c r="E823" s="789">
        <f t="shared" ref="E823:E880" si="53">IF(D823&gt;$I$818,$I$818,D823)</f>
        <v>385137.62857142859</v>
      </c>
      <c r="F823" s="736">
        <f t="shared" si="49"/>
        <v>12709541.742857143</v>
      </c>
      <c r="G823" s="794">
        <f t="shared" si="50"/>
        <v>2249542.0506533105</v>
      </c>
      <c r="H823" s="795">
        <f t="shared" si="51"/>
        <v>2249542.0506533105</v>
      </c>
      <c r="I823" s="792">
        <f t="shared" si="52"/>
        <v>0</v>
      </c>
      <c r="J823" s="792"/>
      <c r="K823" s="812">
        <v>1937127</v>
      </c>
      <c r="L823" s="796"/>
      <c r="M823" s="812">
        <v>1937127</v>
      </c>
      <c r="N823" s="796"/>
      <c r="O823" s="796"/>
    </row>
    <row r="824" spans="2:15">
      <c r="C824" s="788">
        <f>IF(D815="","-",+C823+1)</f>
        <v>2017</v>
      </c>
      <c r="D824" s="736">
        <f t="shared" si="48"/>
        <v>12709541.742857143</v>
      </c>
      <c r="E824" s="789">
        <f t="shared" si="53"/>
        <v>385137.62857142859</v>
      </c>
      <c r="F824" s="736">
        <f t="shared" si="49"/>
        <v>12324404.114285715</v>
      </c>
      <c r="G824" s="794">
        <f t="shared" si="50"/>
        <v>2193888.1873075832</v>
      </c>
      <c r="H824" s="795">
        <f t="shared" si="51"/>
        <v>2193888.1873075832</v>
      </c>
      <c r="I824" s="792">
        <f t="shared" si="52"/>
        <v>0</v>
      </c>
      <c r="J824" s="792"/>
      <c r="K824" s="812">
        <v>2315830</v>
      </c>
      <c r="L824" s="796"/>
      <c r="M824" s="812">
        <v>2315830</v>
      </c>
      <c r="N824" s="796"/>
      <c r="O824" s="796"/>
    </row>
    <row r="825" spans="2:15">
      <c r="C825" s="1312">
        <f>IF(D815="","-",+C824+1)</f>
        <v>2018</v>
      </c>
      <c r="D825" s="736">
        <f t="shared" si="48"/>
        <v>12324404.114285715</v>
      </c>
      <c r="E825" s="789">
        <f t="shared" si="53"/>
        <v>385137.62857142859</v>
      </c>
      <c r="F825" s="736">
        <f t="shared" si="49"/>
        <v>11939266.485714287</v>
      </c>
      <c r="G825" s="794">
        <f t="shared" si="50"/>
        <v>2138234.3239618549</v>
      </c>
      <c r="H825" s="795">
        <f t="shared" si="51"/>
        <v>2138234.3239618549</v>
      </c>
      <c r="I825" s="792">
        <f t="shared" si="52"/>
        <v>0</v>
      </c>
      <c r="J825" s="792"/>
      <c r="K825" s="812">
        <v>2058911</v>
      </c>
      <c r="L825" s="796"/>
      <c r="M825" s="812">
        <v>2058911</v>
      </c>
      <c r="N825" s="796"/>
      <c r="O825" s="796"/>
    </row>
    <row r="826" spans="2:15">
      <c r="C826" s="1290">
        <f>IF(D815="","-",+C825+1)</f>
        <v>2019</v>
      </c>
      <c r="D826" s="736">
        <f t="shared" si="48"/>
        <v>11939266.485714287</v>
      </c>
      <c r="E826" s="789">
        <f t="shared" si="53"/>
        <v>385137.62857142859</v>
      </c>
      <c r="F826" s="736">
        <f t="shared" si="49"/>
        <v>11554128.857142858</v>
      </c>
      <c r="G826" s="794">
        <f t="shared" si="50"/>
        <v>2082580.4606161274</v>
      </c>
      <c r="H826" s="795">
        <f t="shared" si="51"/>
        <v>2082580.4606161274</v>
      </c>
      <c r="I826" s="792">
        <f t="shared" si="52"/>
        <v>0</v>
      </c>
      <c r="J826" s="792"/>
      <c r="K826" s="812"/>
      <c r="L826" s="796"/>
      <c r="M826" s="812"/>
      <c r="N826" s="796"/>
      <c r="O826" s="796"/>
    </row>
    <row r="827" spans="2:15">
      <c r="C827" s="788">
        <f>IF(D815="","-",+C826+1)</f>
        <v>2020</v>
      </c>
      <c r="D827" s="736">
        <f t="shared" si="48"/>
        <v>11554128.857142858</v>
      </c>
      <c r="E827" s="789">
        <f t="shared" si="53"/>
        <v>385137.62857142859</v>
      </c>
      <c r="F827" s="736">
        <f t="shared" si="49"/>
        <v>11168991.22857143</v>
      </c>
      <c r="G827" s="794">
        <f t="shared" si="50"/>
        <v>2026926.5972703996</v>
      </c>
      <c r="H827" s="795">
        <f t="shared" si="51"/>
        <v>2026926.5972703996</v>
      </c>
      <c r="I827" s="792">
        <f t="shared" si="52"/>
        <v>0</v>
      </c>
      <c r="J827" s="792"/>
      <c r="K827" s="812"/>
      <c r="L827" s="796"/>
      <c r="M827" s="812"/>
      <c r="N827" s="796"/>
      <c r="O827" s="796"/>
    </row>
    <row r="828" spans="2:15">
      <c r="C828" s="788">
        <f>IF(D815="","-",+C827+1)</f>
        <v>2021</v>
      </c>
      <c r="D828" s="736">
        <f t="shared" si="48"/>
        <v>11168991.22857143</v>
      </c>
      <c r="E828" s="789">
        <f t="shared" si="53"/>
        <v>385137.62857142859</v>
      </c>
      <c r="F828" s="736">
        <f t="shared" si="49"/>
        <v>10783853.600000001</v>
      </c>
      <c r="G828" s="794">
        <f t="shared" si="50"/>
        <v>1971272.7339246718</v>
      </c>
      <c r="H828" s="795">
        <f t="shared" si="51"/>
        <v>1971272.7339246718</v>
      </c>
      <c r="I828" s="792">
        <f t="shared" si="52"/>
        <v>0</v>
      </c>
      <c r="J828" s="792"/>
      <c r="K828" s="812"/>
      <c r="L828" s="796"/>
      <c r="M828" s="812"/>
      <c r="N828" s="796"/>
      <c r="O828" s="796"/>
    </row>
    <row r="829" spans="2:15">
      <c r="C829" s="788">
        <f>IF(D815="","-",+C828+1)</f>
        <v>2022</v>
      </c>
      <c r="D829" s="736">
        <f t="shared" si="48"/>
        <v>10783853.600000001</v>
      </c>
      <c r="E829" s="789">
        <f t="shared" si="53"/>
        <v>385137.62857142859</v>
      </c>
      <c r="F829" s="736">
        <f t="shared" si="49"/>
        <v>10398715.971428573</v>
      </c>
      <c r="G829" s="794">
        <f t="shared" si="50"/>
        <v>1915618.870578944</v>
      </c>
      <c r="H829" s="795">
        <f t="shared" si="51"/>
        <v>1915618.870578944</v>
      </c>
      <c r="I829" s="792">
        <f t="shared" si="52"/>
        <v>0</v>
      </c>
      <c r="J829" s="792"/>
      <c r="K829" s="812"/>
      <c r="L829" s="796"/>
      <c r="M829" s="812"/>
      <c r="N829" s="796"/>
      <c r="O829" s="796"/>
    </row>
    <row r="830" spans="2:15">
      <c r="C830" s="788">
        <f>IF(D815="","-",+C829+1)</f>
        <v>2023</v>
      </c>
      <c r="D830" s="736">
        <f t="shared" si="48"/>
        <v>10398715.971428573</v>
      </c>
      <c r="E830" s="789">
        <f t="shared" si="53"/>
        <v>385137.62857142859</v>
      </c>
      <c r="F830" s="736">
        <f t="shared" si="49"/>
        <v>10013578.342857145</v>
      </c>
      <c r="G830" s="794">
        <f t="shared" si="50"/>
        <v>1859965.0072332162</v>
      </c>
      <c r="H830" s="795">
        <f t="shared" si="51"/>
        <v>1859965.0072332162</v>
      </c>
      <c r="I830" s="792">
        <f t="shared" si="52"/>
        <v>0</v>
      </c>
      <c r="J830" s="792"/>
      <c r="K830" s="812"/>
      <c r="L830" s="796"/>
      <c r="M830" s="812"/>
      <c r="N830" s="796"/>
      <c r="O830" s="796"/>
    </row>
    <row r="831" spans="2:15">
      <c r="C831" s="788">
        <f>IF(D815="","-",+C830+1)</f>
        <v>2024</v>
      </c>
      <c r="D831" s="736">
        <f t="shared" si="48"/>
        <v>10013578.342857145</v>
      </c>
      <c r="E831" s="789">
        <f t="shared" si="53"/>
        <v>385137.62857142859</v>
      </c>
      <c r="F831" s="736">
        <f t="shared" si="49"/>
        <v>9628440.7142857164</v>
      </c>
      <c r="G831" s="794">
        <f t="shared" si="50"/>
        <v>1804311.1438874884</v>
      </c>
      <c r="H831" s="795">
        <f t="shared" si="51"/>
        <v>1804311.1438874884</v>
      </c>
      <c r="I831" s="792">
        <f t="shared" si="52"/>
        <v>0</v>
      </c>
      <c r="J831" s="792"/>
      <c r="K831" s="812"/>
      <c r="L831" s="796"/>
      <c r="M831" s="812"/>
      <c r="N831" s="796"/>
      <c r="O831" s="796"/>
    </row>
    <row r="832" spans="2:15">
      <c r="C832" s="788">
        <f>IF(D815="","-",+C831+1)</f>
        <v>2025</v>
      </c>
      <c r="D832" s="736">
        <f t="shared" si="48"/>
        <v>9628440.7142857164</v>
      </c>
      <c r="E832" s="789">
        <f t="shared" si="53"/>
        <v>385137.62857142859</v>
      </c>
      <c r="F832" s="736">
        <f t="shared" si="49"/>
        <v>9243303.0857142881</v>
      </c>
      <c r="G832" s="794">
        <f t="shared" si="50"/>
        <v>1748657.2805417606</v>
      </c>
      <c r="H832" s="795">
        <f t="shared" si="51"/>
        <v>1748657.2805417606</v>
      </c>
      <c r="I832" s="792">
        <f t="shared" si="52"/>
        <v>0</v>
      </c>
      <c r="J832" s="792"/>
      <c r="K832" s="812"/>
      <c r="L832" s="796"/>
      <c r="M832" s="812"/>
      <c r="N832" s="796"/>
      <c r="O832" s="796"/>
    </row>
    <row r="833" spans="3:15">
      <c r="C833" s="788">
        <f>IF(D815="","-",+C832+1)</f>
        <v>2026</v>
      </c>
      <c r="D833" s="736">
        <f t="shared" si="48"/>
        <v>9243303.0857142881</v>
      </c>
      <c r="E833" s="789">
        <f t="shared" si="53"/>
        <v>385137.62857142859</v>
      </c>
      <c r="F833" s="736">
        <f t="shared" si="49"/>
        <v>8858165.4571428597</v>
      </c>
      <c r="G833" s="794">
        <f t="shared" si="50"/>
        <v>1693003.4171960328</v>
      </c>
      <c r="H833" s="795">
        <f t="shared" si="51"/>
        <v>1693003.4171960328</v>
      </c>
      <c r="I833" s="792">
        <f t="shared" si="52"/>
        <v>0</v>
      </c>
      <c r="J833" s="792"/>
      <c r="K833" s="812"/>
      <c r="L833" s="796"/>
      <c r="M833" s="812"/>
      <c r="N833" s="797"/>
      <c r="O833" s="796"/>
    </row>
    <row r="834" spans="3:15">
      <c r="C834" s="788">
        <f>IF(D815="","-",+C833+1)</f>
        <v>2027</v>
      </c>
      <c r="D834" s="736">
        <f t="shared" si="48"/>
        <v>8858165.4571428597</v>
      </c>
      <c r="E834" s="789">
        <f t="shared" si="53"/>
        <v>385137.62857142859</v>
      </c>
      <c r="F834" s="736">
        <f t="shared" si="49"/>
        <v>8473027.8285714313</v>
      </c>
      <c r="G834" s="794">
        <f t="shared" si="50"/>
        <v>1637349.553850305</v>
      </c>
      <c r="H834" s="795">
        <f t="shared" si="51"/>
        <v>1637349.553850305</v>
      </c>
      <c r="I834" s="792">
        <f t="shared" si="52"/>
        <v>0</v>
      </c>
      <c r="J834" s="792"/>
      <c r="K834" s="812"/>
      <c r="L834" s="796"/>
      <c r="M834" s="812"/>
      <c r="N834" s="796"/>
      <c r="O834" s="796"/>
    </row>
    <row r="835" spans="3:15">
      <c r="C835" s="788">
        <f>IF(D815="","-",+C834+1)</f>
        <v>2028</v>
      </c>
      <c r="D835" s="736">
        <f t="shared" si="48"/>
        <v>8473027.8285714313</v>
      </c>
      <c r="E835" s="789">
        <f t="shared" si="53"/>
        <v>385137.62857142859</v>
      </c>
      <c r="F835" s="736">
        <f t="shared" si="49"/>
        <v>8087890.200000003</v>
      </c>
      <c r="G835" s="794">
        <f t="shared" si="50"/>
        <v>1581695.6905045772</v>
      </c>
      <c r="H835" s="795">
        <f t="shared" si="51"/>
        <v>1581695.6905045772</v>
      </c>
      <c r="I835" s="792">
        <f t="shared" si="52"/>
        <v>0</v>
      </c>
      <c r="J835" s="792"/>
      <c r="K835" s="812"/>
      <c r="L835" s="796"/>
      <c r="M835" s="812"/>
      <c r="N835" s="796"/>
      <c r="O835" s="796"/>
    </row>
    <row r="836" spans="3:15">
      <c r="C836" s="788">
        <f>IF(D815="","-",+C835+1)</f>
        <v>2029</v>
      </c>
      <c r="D836" s="736">
        <f t="shared" si="48"/>
        <v>8087890.200000003</v>
      </c>
      <c r="E836" s="789">
        <f t="shared" si="53"/>
        <v>385137.62857142859</v>
      </c>
      <c r="F836" s="736">
        <f t="shared" si="49"/>
        <v>7702752.5714285746</v>
      </c>
      <c r="G836" s="794">
        <f t="shared" si="50"/>
        <v>1526041.8271588495</v>
      </c>
      <c r="H836" s="795">
        <f t="shared" si="51"/>
        <v>1526041.8271588495</v>
      </c>
      <c r="I836" s="792">
        <f t="shared" si="52"/>
        <v>0</v>
      </c>
      <c r="J836" s="792"/>
      <c r="K836" s="812"/>
      <c r="L836" s="796"/>
      <c r="M836" s="812"/>
      <c r="N836" s="796"/>
      <c r="O836" s="796"/>
    </row>
    <row r="837" spans="3:15">
      <c r="C837" s="788">
        <f>IF(D815="","-",+C836+1)</f>
        <v>2030</v>
      </c>
      <c r="D837" s="736">
        <f t="shared" si="48"/>
        <v>7702752.5714285746</v>
      </c>
      <c r="E837" s="789">
        <f t="shared" si="53"/>
        <v>385137.62857142859</v>
      </c>
      <c r="F837" s="736">
        <f t="shared" si="49"/>
        <v>7317614.9428571463</v>
      </c>
      <c r="G837" s="794">
        <f t="shared" si="50"/>
        <v>1470387.9638131217</v>
      </c>
      <c r="H837" s="795">
        <f t="shared" si="51"/>
        <v>1470387.9638131217</v>
      </c>
      <c r="I837" s="792">
        <f t="shared" si="52"/>
        <v>0</v>
      </c>
      <c r="J837" s="792"/>
      <c r="K837" s="812"/>
      <c r="L837" s="796"/>
      <c r="M837" s="812"/>
      <c r="N837" s="796"/>
      <c r="O837" s="796"/>
    </row>
    <row r="838" spans="3:15">
      <c r="C838" s="788">
        <f>IF(D815="","-",+C837+1)</f>
        <v>2031</v>
      </c>
      <c r="D838" s="736">
        <f t="shared" si="48"/>
        <v>7317614.9428571463</v>
      </c>
      <c r="E838" s="789">
        <f t="shared" si="53"/>
        <v>385137.62857142859</v>
      </c>
      <c r="F838" s="736">
        <f t="shared" si="49"/>
        <v>6932477.3142857179</v>
      </c>
      <c r="G838" s="794">
        <f t="shared" si="50"/>
        <v>1414734.1004673939</v>
      </c>
      <c r="H838" s="795">
        <f t="shared" si="51"/>
        <v>1414734.1004673939</v>
      </c>
      <c r="I838" s="792">
        <f t="shared" si="52"/>
        <v>0</v>
      </c>
      <c r="J838" s="792"/>
      <c r="K838" s="812"/>
      <c r="L838" s="796"/>
      <c r="M838" s="812"/>
      <c r="N838" s="796"/>
      <c r="O838" s="796"/>
    </row>
    <row r="839" spans="3:15">
      <c r="C839" s="788">
        <f>IF(D815="","-",+C838+1)</f>
        <v>2032</v>
      </c>
      <c r="D839" s="736">
        <f t="shared" si="48"/>
        <v>6932477.3142857179</v>
      </c>
      <c r="E839" s="789">
        <f t="shared" si="53"/>
        <v>385137.62857142859</v>
      </c>
      <c r="F839" s="736">
        <f t="shared" si="49"/>
        <v>6547339.6857142895</v>
      </c>
      <c r="G839" s="794">
        <f t="shared" si="50"/>
        <v>1359080.2371216661</v>
      </c>
      <c r="H839" s="795">
        <f t="shared" si="51"/>
        <v>1359080.2371216661</v>
      </c>
      <c r="I839" s="792">
        <f t="shared" si="52"/>
        <v>0</v>
      </c>
      <c r="J839" s="792"/>
      <c r="K839" s="812"/>
      <c r="L839" s="796"/>
      <c r="M839" s="812"/>
      <c r="N839" s="796"/>
      <c r="O839" s="796"/>
    </row>
    <row r="840" spans="3:15">
      <c r="C840" s="788">
        <f>IF(D815="","-",+C839+1)</f>
        <v>2033</v>
      </c>
      <c r="D840" s="736">
        <f t="shared" si="48"/>
        <v>6547339.6857142895</v>
      </c>
      <c r="E840" s="789">
        <f t="shared" si="53"/>
        <v>385137.62857142859</v>
      </c>
      <c r="F840" s="736">
        <f t="shared" si="49"/>
        <v>6162202.0571428612</v>
      </c>
      <c r="G840" s="794">
        <f t="shared" si="50"/>
        <v>1303426.3737759383</v>
      </c>
      <c r="H840" s="795">
        <f t="shared" si="51"/>
        <v>1303426.3737759383</v>
      </c>
      <c r="I840" s="792">
        <f t="shared" si="52"/>
        <v>0</v>
      </c>
      <c r="J840" s="792"/>
      <c r="K840" s="812"/>
      <c r="L840" s="796"/>
      <c r="M840" s="812"/>
      <c r="N840" s="796"/>
      <c r="O840" s="796"/>
    </row>
    <row r="841" spans="3:15">
      <c r="C841" s="788">
        <f>IF(D815="","-",+C840+1)</f>
        <v>2034</v>
      </c>
      <c r="D841" s="736">
        <f t="shared" si="48"/>
        <v>6162202.0571428612</v>
      </c>
      <c r="E841" s="789">
        <f t="shared" si="53"/>
        <v>385137.62857142859</v>
      </c>
      <c r="F841" s="736">
        <f t="shared" si="49"/>
        <v>5777064.4285714328</v>
      </c>
      <c r="G841" s="794">
        <f t="shared" si="50"/>
        <v>1247772.5104302105</v>
      </c>
      <c r="H841" s="795">
        <f t="shared" si="51"/>
        <v>1247772.5104302105</v>
      </c>
      <c r="I841" s="792">
        <f t="shared" si="52"/>
        <v>0</v>
      </c>
      <c r="J841" s="792"/>
      <c r="K841" s="812"/>
      <c r="L841" s="796"/>
      <c r="M841" s="812"/>
      <c r="N841" s="796"/>
      <c r="O841" s="796"/>
    </row>
    <row r="842" spans="3:15">
      <c r="C842" s="788">
        <f>IF(D815="","-",+C841+1)</f>
        <v>2035</v>
      </c>
      <c r="D842" s="736">
        <f t="shared" si="48"/>
        <v>5777064.4285714328</v>
      </c>
      <c r="E842" s="789">
        <f t="shared" si="53"/>
        <v>385137.62857142859</v>
      </c>
      <c r="F842" s="736">
        <f t="shared" si="49"/>
        <v>5391926.8000000045</v>
      </c>
      <c r="G842" s="794">
        <f t="shared" si="50"/>
        <v>1192118.6470844827</v>
      </c>
      <c r="H842" s="795">
        <f t="shared" si="51"/>
        <v>1192118.6470844827</v>
      </c>
      <c r="I842" s="792">
        <f t="shared" si="52"/>
        <v>0</v>
      </c>
      <c r="J842" s="792"/>
      <c r="K842" s="812"/>
      <c r="L842" s="796"/>
      <c r="M842" s="812"/>
      <c r="N842" s="796"/>
      <c r="O842" s="796"/>
    </row>
    <row r="843" spans="3:15">
      <c r="C843" s="788">
        <f>IF(D815="","-",+C842+1)</f>
        <v>2036</v>
      </c>
      <c r="D843" s="736">
        <f t="shared" si="48"/>
        <v>5391926.8000000045</v>
      </c>
      <c r="E843" s="789">
        <f t="shared" si="53"/>
        <v>385137.62857142859</v>
      </c>
      <c r="F843" s="736">
        <f t="shared" si="49"/>
        <v>5006789.1714285761</v>
      </c>
      <c r="G843" s="794">
        <f t="shared" si="50"/>
        <v>1136464.7837387549</v>
      </c>
      <c r="H843" s="795">
        <f t="shared" si="51"/>
        <v>1136464.7837387549</v>
      </c>
      <c r="I843" s="792">
        <f t="shared" si="52"/>
        <v>0</v>
      </c>
      <c r="J843" s="792"/>
      <c r="K843" s="812"/>
      <c r="L843" s="796"/>
      <c r="M843" s="812"/>
      <c r="N843" s="796"/>
      <c r="O843" s="796"/>
    </row>
    <row r="844" spans="3:15">
      <c r="C844" s="788">
        <f>IF(D815="","-",+C843+1)</f>
        <v>2037</v>
      </c>
      <c r="D844" s="736">
        <f t="shared" si="48"/>
        <v>5006789.1714285761</v>
      </c>
      <c r="E844" s="789">
        <f t="shared" si="53"/>
        <v>385137.62857142859</v>
      </c>
      <c r="F844" s="736">
        <f t="shared" si="49"/>
        <v>4621651.5428571478</v>
      </c>
      <c r="G844" s="794">
        <f t="shared" si="50"/>
        <v>1080810.9203930271</v>
      </c>
      <c r="H844" s="795">
        <f t="shared" si="51"/>
        <v>1080810.9203930271</v>
      </c>
      <c r="I844" s="792">
        <f t="shared" si="52"/>
        <v>0</v>
      </c>
      <c r="J844" s="792"/>
      <c r="K844" s="812"/>
      <c r="L844" s="796"/>
      <c r="M844" s="812"/>
      <c r="N844" s="796"/>
      <c r="O844" s="796"/>
    </row>
    <row r="845" spans="3:15">
      <c r="C845" s="788">
        <f>IF(D815="","-",+C844+1)</f>
        <v>2038</v>
      </c>
      <c r="D845" s="736">
        <f t="shared" si="48"/>
        <v>4621651.5428571478</v>
      </c>
      <c r="E845" s="789">
        <f t="shared" si="53"/>
        <v>385137.62857142859</v>
      </c>
      <c r="F845" s="736">
        <f t="shared" si="49"/>
        <v>4236513.9142857194</v>
      </c>
      <c r="G845" s="794">
        <f t="shared" si="50"/>
        <v>1025157.0570472992</v>
      </c>
      <c r="H845" s="795">
        <f t="shared" si="51"/>
        <v>1025157.0570472992</v>
      </c>
      <c r="I845" s="792">
        <f t="shared" si="52"/>
        <v>0</v>
      </c>
      <c r="J845" s="792"/>
      <c r="K845" s="812"/>
      <c r="L845" s="796"/>
      <c r="M845" s="812"/>
      <c r="N845" s="796"/>
      <c r="O845" s="796"/>
    </row>
    <row r="846" spans="3:15">
      <c r="C846" s="788">
        <f>IF(D815="","-",+C845+1)</f>
        <v>2039</v>
      </c>
      <c r="D846" s="736">
        <f t="shared" si="48"/>
        <v>4236513.9142857194</v>
      </c>
      <c r="E846" s="789">
        <f t="shared" si="53"/>
        <v>385137.62857142859</v>
      </c>
      <c r="F846" s="736">
        <f t="shared" si="49"/>
        <v>3851376.285714291</v>
      </c>
      <c r="G846" s="794">
        <f t="shared" si="50"/>
        <v>969503.19370157144</v>
      </c>
      <c r="H846" s="795">
        <f t="shared" si="51"/>
        <v>969503.19370157144</v>
      </c>
      <c r="I846" s="792">
        <f t="shared" si="52"/>
        <v>0</v>
      </c>
      <c r="J846" s="792"/>
      <c r="K846" s="812"/>
      <c r="L846" s="796"/>
      <c r="M846" s="812"/>
      <c r="N846" s="796"/>
      <c r="O846" s="796"/>
    </row>
    <row r="847" spans="3:15">
      <c r="C847" s="788">
        <f>IF(D815="","-",+C846+1)</f>
        <v>2040</v>
      </c>
      <c r="D847" s="736">
        <f t="shared" si="48"/>
        <v>3851376.285714291</v>
      </c>
      <c r="E847" s="789">
        <f t="shared" si="53"/>
        <v>385137.62857142859</v>
      </c>
      <c r="F847" s="736">
        <f t="shared" si="49"/>
        <v>3466238.6571428627</v>
      </c>
      <c r="G847" s="794">
        <f t="shared" si="50"/>
        <v>913849.33035584365</v>
      </c>
      <c r="H847" s="795">
        <f t="shared" si="51"/>
        <v>913849.33035584365</v>
      </c>
      <c r="I847" s="792">
        <f t="shared" si="52"/>
        <v>0</v>
      </c>
      <c r="J847" s="792"/>
      <c r="K847" s="812"/>
      <c r="L847" s="796"/>
      <c r="M847" s="812"/>
      <c r="N847" s="796"/>
      <c r="O847" s="796"/>
    </row>
    <row r="848" spans="3:15">
      <c r="C848" s="788">
        <f>IF(D815="","-",+C847+1)</f>
        <v>2041</v>
      </c>
      <c r="D848" s="736">
        <f t="shared" si="48"/>
        <v>3466238.6571428627</v>
      </c>
      <c r="E848" s="789">
        <f t="shared" si="53"/>
        <v>385137.62857142859</v>
      </c>
      <c r="F848" s="736">
        <f t="shared" si="49"/>
        <v>3081101.0285714343</v>
      </c>
      <c r="G848" s="794">
        <f t="shared" si="50"/>
        <v>858195.46701011597</v>
      </c>
      <c r="H848" s="795">
        <f t="shared" si="51"/>
        <v>858195.46701011597</v>
      </c>
      <c r="I848" s="792">
        <f t="shared" si="52"/>
        <v>0</v>
      </c>
      <c r="J848" s="792"/>
      <c r="K848" s="812"/>
      <c r="L848" s="796"/>
      <c r="M848" s="812"/>
      <c r="N848" s="796"/>
      <c r="O848" s="796"/>
    </row>
    <row r="849" spans="3:15">
      <c r="C849" s="788">
        <f>IF(D815="","-",+C848+1)</f>
        <v>2042</v>
      </c>
      <c r="D849" s="736">
        <f t="shared" si="48"/>
        <v>3081101.0285714343</v>
      </c>
      <c r="E849" s="789">
        <f t="shared" si="53"/>
        <v>385137.62857142859</v>
      </c>
      <c r="F849" s="736">
        <f t="shared" si="49"/>
        <v>2695963.400000006</v>
      </c>
      <c r="G849" s="790">
        <f t="shared" si="50"/>
        <v>802541.60366438818</v>
      </c>
      <c r="H849" s="795">
        <f t="shared" si="51"/>
        <v>802541.60366438818</v>
      </c>
      <c r="I849" s="792">
        <f t="shared" si="52"/>
        <v>0</v>
      </c>
      <c r="J849" s="792"/>
      <c r="K849" s="812"/>
      <c r="L849" s="796"/>
      <c r="M849" s="812"/>
      <c r="N849" s="796"/>
      <c r="O849" s="796"/>
    </row>
    <row r="850" spans="3:15">
      <c r="C850" s="788">
        <f>IF(D815="","-",+C849+1)</f>
        <v>2043</v>
      </c>
      <c r="D850" s="736">
        <f t="shared" si="48"/>
        <v>2695963.400000006</v>
      </c>
      <c r="E850" s="789">
        <f t="shared" si="53"/>
        <v>385137.62857142859</v>
      </c>
      <c r="F850" s="736">
        <f t="shared" si="49"/>
        <v>2310825.7714285776</v>
      </c>
      <c r="G850" s="794">
        <f t="shared" si="50"/>
        <v>746887.74031866039</v>
      </c>
      <c r="H850" s="795">
        <f t="shared" si="51"/>
        <v>746887.74031866039</v>
      </c>
      <c r="I850" s="792">
        <f t="shared" si="52"/>
        <v>0</v>
      </c>
      <c r="J850" s="792"/>
      <c r="K850" s="812"/>
      <c r="L850" s="796"/>
      <c r="M850" s="812"/>
      <c r="N850" s="796"/>
      <c r="O850" s="796"/>
    </row>
    <row r="851" spans="3:15">
      <c r="C851" s="788">
        <f>IF(D815="","-",+C850+1)</f>
        <v>2044</v>
      </c>
      <c r="D851" s="736">
        <f t="shared" si="48"/>
        <v>2310825.7714285776</v>
      </c>
      <c r="E851" s="789">
        <f t="shared" si="53"/>
        <v>385137.62857142859</v>
      </c>
      <c r="F851" s="736">
        <f t="shared" si="49"/>
        <v>1925688.142857149</v>
      </c>
      <c r="G851" s="794">
        <f t="shared" si="50"/>
        <v>691233.8769729326</v>
      </c>
      <c r="H851" s="795">
        <f t="shared" si="51"/>
        <v>691233.8769729326</v>
      </c>
      <c r="I851" s="792">
        <f t="shared" si="52"/>
        <v>0</v>
      </c>
      <c r="J851" s="792"/>
      <c r="K851" s="812"/>
      <c r="L851" s="796"/>
      <c r="M851" s="812"/>
      <c r="N851" s="796"/>
      <c r="O851" s="796"/>
    </row>
    <row r="852" spans="3:15">
      <c r="C852" s="788">
        <f>IF(D815="","-",+C851+1)</f>
        <v>2045</v>
      </c>
      <c r="D852" s="736">
        <f t="shared" si="48"/>
        <v>1925688.142857149</v>
      </c>
      <c r="E852" s="789">
        <f t="shared" si="53"/>
        <v>385137.62857142859</v>
      </c>
      <c r="F852" s="736">
        <f t="shared" si="49"/>
        <v>1540550.5142857204</v>
      </c>
      <c r="G852" s="794">
        <f t="shared" si="50"/>
        <v>635580.01362720469</v>
      </c>
      <c r="H852" s="795">
        <f t="shared" si="51"/>
        <v>635580.01362720469</v>
      </c>
      <c r="I852" s="792">
        <f t="shared" si="52"/>
        <v>0</v>
      </c>
      <c r="J852" s="792"/>
      <c r="K852" s="812"/>
      <c r="L852" s="796"/>
      <c r="M852" s="812"/>
      <c r="N852" s="796"/>
      <c r="O852" s="796"/>
    </row>
    <row r="853" spans="3:15">
      <c r="C853" s="788">
        <f>IF(D815="","-",+C852+1)</f>
        <v>2046</v>
      </c>
      <c r="D853" s="736">
        <f t="shared" si="48"/>
        <v>1540550.5142857204</v>
      </c>
      <c r="E853" s="789">
        <f t="shared" si="53"/>
        <v>385137.62857142859</v>
      </c>
      <c r="F853" s="736">
        <f t="shared" si="49"/>
        <v>1155412.8857142918</v>
      </c>
      <c r="G853" s="794">
        <f t="shared" si="50"/>
        <v>579926.1502814769</v>
      </c>
      <c r="H853" s="795">
        <f t="shared" si="51"/>
        <v>579926.1502814769</v>
      </c>
      <c r="I853" s="792">
        <f t="shared" si="52"/>
        <v>0</v>
      </c>
      <c r="J853" s="792"/>
      <c r="K853" s="812"/>
      <c r="L853" s="796"/>
      <c r="M853" s="812"/>
      <c r="N853" s="796"/>
      <c r="O853" s="796"/>
    </row>
    <row r="854" spans="3:15">
      <c r="C854" s="788">
        <f>IF(D815="","-",+C853+1)</f>
        <v>2047</v>
      </c>
      <c r="D854" s="736">
        <f t="shared" si="48"/>
        <v>1155412.8857142918</v>
      </c>
      <c r="E854" s="789">
        <f t="shared" si="53"/>
        <v>385137.62857142859</v>
      </c>
      <c r="F854" s="736">
        <f t="shared" si="49"/>
        <v>770275.25714286324</v>
      </c>
      <c r="G854" s="794">
        <f t="shared" si="50"/>
        <v>524272.286935749</v>
      </c>
      <c r="H854" s="795">
        <f t="shared" si="51"/>
        <v>524272.286935749</v>
      </c>
      <c r="I854" s="792">
        <f t="shared" si="52"/>
        <v>0</v>
      </c>
      <c r="J854" s="792"/>
      <c r="K854" s="812"/>
      <c r="L854" s="796"/>
      <c r="M854" s="812"/>
      <c r="N854" s="796"/>
      <c r="O854" s="796"/>
    </row>
    <row r="855" spans="3:15">
      <c r="C855" s="788">
        <f>IF(D815="","-",+C854+1)</f>
        <v>2048</v>
      </c>
      <c r="D855" s="736">
        <f t="shared" si="48"/>
        <v>770275.25714286324</v>
      </c>
      <c r="E855" s="789">
        <f t="shared" si="53"/>
        <v>385137.62857142859</v>
      </c>
      <c r="F855" s="736">
        <f t="shared" si="49"/>
        <v>385137.62857143464</v>
      </c>
      <c r="G855" s="794">
        <f t="shared" si="50"/>
        <v>468618.42359002121</v>
      </c>
      <c r="H855" s="795">
        <f t="shared" si="51"/>
        <v>468618.42359002121</v>
      </c>
      <c r="I855" s="792">
        <f t="shared" si="52"/>
        <v>0</v>
      </c>
      <c r="J855" s="792"/>
      <c r="K855" s="812"/>
      <c r="L855" s="796"/>
      <c r="M855" s="812"/>
      <c r="N855" s="796"/>
      <c r="O855" s="796"/>
    </row>
    <row r="856" spans="3:15">
      <c r="C856" s="788">
        <f>IF(D815="","-",+C855+1)</f>
        <v>2049</v>
      </c>
      <c r="D856" s="736">
        <f t="shared" si="48"/>
        <v>385137.62857143464</v>
      </c>
      <c r="E856" s="789">
        <f t="shared" si="53"/>
        <v>385137.62857142859</v>
      </c>
      <c r="F856" s="736">
        <f t="shared" si="49"/>
        <v>6.0535967350006104E-9</v>
      </c>
      <c r="G856" s="794">
        <f t="shared" si="50"/>
        <v>412964.56024429336</v>
      </c>
      <c r="H856" s="795">
        <f t="shared" si="51"/>
        <v>412964.56024429336</v>
      </c>
      <c r="I856" s="792">
        <f t="shared" si="52"/>
        <v>0</v>
      </c>
      <c r="J856" s="792"/>
      <c r="K856" s="812"/>
      <c r="L856" s="796"/>
      <c r="M856" s="812"/>
      <c r="N856" s="796"/>
      <c r="O856" s="796"/>
    </row>
    <row r="857" spans="3:15">
      <c r="C857" s="788">
        <f>IF(D815="","-",+C856+1)</f>
        <v>2050</v>
      </c>
      <c r="D857" s="736">
        <f t="shared" si="48"/>
        <v>6.0535967350006104E-9</v>
      </c>
      <c r="E857" s="789">
        <f t="shared" si="53"/>
        <v>6.0535967350006104E-9</v>
      </c>
      <c r="F857" s="736">
        <f t="shared" si="49"/>
        <v>0</v>
      </c>
      <c r="G857" s="794">
        <f t="shared" si="50"/>
        <v>6.4909806991299223E-9</v>
      </c>
      <c r="H857" s="795">
        <f t="shared" si="51"/>
        <v>6.4909806991299223E-9</v>
      </c>
      <c r="I857" s="792">
        <f t="shared" si="52"/>
        <v>0</v>
      </c>
      <c r="J857" s="792"/>
      <c r="K857" s="812"/>
      <c r="L857" s="796"/>
      <c r="M857" s="812"/>
      <c r="N857" s="796"/>
      <c r="O857" s="796"/>
    </row>
    <row r="858" spans="3:15">
      <c r="C858" s="788">
        <f>IF(D815="","-",+C857+1)</f>
        <v>2051</v>
      </c>
      <c r="D858" s="736">
        <f t="shared" si="48"/>
        <v>0</v>
      </c>
      <c r="E858" s="789">
        <f t="shared" si="53"/>
        <v>0</v>
      </c>
      <c r="F858" s="736">
        <f t="shared" si="49"/>
        <v>0</v>
      </c>
      <c r="G858" s="794">
        <f t="shared" si="50"/>
        <v>0</v>
      </c>
      <c r="H858" s="795">
        <f t="shared" si="51"/>
        <v>0</v>
      </c>
      <c r="I858" s="792">
        <f t="shared" si="52"/>
        <v>0</v>
      </c>
      <c r="J858" s="792"/>
      <c r="K858" s="812"/>
      <c r="L858" s="796"/>
      <c r="M858" s="812"/>
      <c r="N858" s="796"/>
      <c r="O858" s="796"/>
    </row>
    <row r="859" spans="3:15">
      <c r="C859" s="788">
        <f>IF(D815="","-",+C858+1)</f>
        <v>2052</v>
      </c>
      <c r="D859" s="736">
        <f t="shared" si="48"/>
        <v>0</v>
      </c>
      <c r="E859" s="789">
        <f t="shared" si="53"/>
        <v>0</v>
      </c>
      <c r="F859" s="736">
        <f t="shared" si="49"/>
        <v>0</v>
      </c>
      <c r="G859" s="794">
        <f t="shared" si="50"/>
        <v>0</v>
      </c>
      <c r="H859" s="795">
        <f t="shared" si="51"/>
        <v>0</v>
      </c>
      <c r="I859" s="792">
        <f t="shared" si="52"/>
        <v>0</v>
      </c>
      <c r="J859" s="792"/>
      <c r="K859" s="812"/>
      <c r="L859" s="796"/>
      <c r="M859" s="812"/>
      <c r="N859" s="796"/>
      <c r="O859" s="796"/>
    </row>
    <row r="860" spans="3:15">
      <c r="C860" s="788">
        <f>IF(D815="","-",+C859+1)</f>
        <v>2053</v>
      </c>
      <c r="D860" s="736">
        <f t="shared" si="48"/>
        <v>0</v>
      </c>
      <c r="E860" s="789">
        <f t="shared" si="53"/>
        <v>0</v>
      </c>
      <c r="F860" s="736">
        <f t="shared" si="49"/>
        <v>0</v>
      </c>
      <c r="G860" s="794">
        <f t="shared" si="50"/>
        <v>0</v>
      </c>
      <c r="H860" s="795">
        <f t="shared" si="51"/>
        <v>0</v>
      </c>
      <c r="I860" s="792">
        <f t="shared" si="52"/>
        <v>0</v>
      </c>
      <c r="J860" s="792"/>
      <c r="K860" s="812"/>
      <c r="L860" s="796"/>
      <c r="M860" s="812"/>
      <c r="N860" s="796"/>
      <c r="O860" s="796"/>
    </row>
    <row r="861" spans="3:15">
      <c r="C861" s="788">
        <f>IF(D815="","-",+C860+1)</f>
        <v>2054</v>
      </c>
      <c r="D861" s="736">
        <f t="shared" si="48"/>
        <v>0</v>
      </c>
      <c r="E861" s="789">
        <f t="shared" si="53"/>
        <v>0</v>
      </c>
      <c r="F861" s="736">
        <f t="shared" si="49"/>
        <v>0</v>
      </c>
      <c r="G861" s="794">
        <f t="shared" si="50"/>
        <v>0</v>
      </c>
      <c r="H861" s="795">
        <f t="shared" si="51"/>
        <v>0</v>
      </c>
      <c r="I861" s="792">
        <f t="shared" si="52"/>
        <v>0</v>
      </c>
      <c r="J861" s="792"/>
      <c r="K861" s="812"/>
      <c r="L861" s="796"/>
      <c r="M861" s="812"/>
      <c r="N861" s="796"/>
      <c r="O861" s="796"/>
    </row>
    <row r="862" spans="3:15">
      <c r="C862" s="788">
        <f>IF(D815="","-",+C861+1)</f>
        <v>2055</v>
      </c>
      <c r="D862" s="736">
        <f t="shared" si="48"/>
        <v>0</v>
      </c>
      <c r="E862" s="789">
        <f t="shared" si="53"/>
        <v>0</v>
      </c>
      <c r="F862" s="736">
        <f t="shared" si="49"/>
        <v>0</v>
      </c>
      <c r="G862" s="794">
        <f t="shared" si="50"/>
        <v>0</v>
      </c>
      <c r="H862" s="795">
        <f t="shared" si="51"/>
        <v>0</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83</v>
      </c>
      <c r="D881" s="730"/>
      <c r="E881" s="730">
        <f>SUM(E821:E880)</f>
        <v>13479817</v>
      </c>
      <c r="F881" s="730"/>
      <c r="G881" s="730">
        <f>SUM(G821:G880)</f>
        <v>49515693.516358793</v>
      </c>
      <c r="H881" s="730">
        <f>SUM(H821:H880)</f>
        <v>49515693.516358793</v>
      </c>
      <c r="I881" s="730">
        <f>SUM(I821:I880)</f>
        <v>0</v>
      </c>
      <c r="J881" s="730"/>
      <c r="K881" s="730"/>
      <c r="L881" s="730"/>
      <c r="M881" s="730"/>
      <c r="N881" s="730"/>
      <c r="O881" s="313"/>
    </row>
    <row r="882" spans="1:16">
      <c r="D882" s="538"/>
      <c r="E882" s="313"/>
      <c r="F882" s="313"/>
      <c r="G882" s="313"/>
      <c r="H882" s="708"/>
      <c r="I882" s="708"/>
      <c r="J882" s="730"/>
      <c r="K882" s="708"/>
      <c r="L882" s="708"/>
      <c r="M882" s="708"/>
      <c r="N882" s="708"/>
      <c r="O882" s="313"/>
    </row>
    <row r="883" spans="1:16">
      <c r="C883" s="313" t="s">
        <v>13</v>
      </c>
      <c r="D883" s="538"/>
      <c r="E883" s="313"/>
      <c r="F883" s="313"/>
      <c r="G883" s="313"/>
      <c r="H883" s="708"/>
      <c r="I883" s="708"/>
      <c r="J883" s="730"/>
      <c r="K883" s="708"/>
      <c r="L883" s="708"/>
      <c r="M883" s="708"/>
      <c r="N883" s="708"/>
      <c r="O883" s="313"/>
    </row>
    <row r="884" spans="1:16">
      <c r="C884" s="313"/>
      <c r="D884" s="538"/>
      <c r="E884" s="313"/>
      <c r="F884" s="313"/>
      <c r="G884" s="313"/>
      <c r="H884" s="708"/>
      <c r="I884" s="708"/>
      <c r="J884" s="730"/>
      <c r="K884" s="708"/>
      <c r="L884" s="708"/>
      <c r="M884" s="708"/>
      <c r="N884" s="708"/>
      <c r="O884" s="313"/>
    </row>
    <row r="885" spans="1:16">
      <c r="C885" s="749" t="s">
        <v>14</v>
      </c>
      <c r="D885" s="736"/>
      <c r="E885" s="736"/>
      <c r="F885" s="736"/>
      <c r="G885" s="730"/>
      <c r="H885" s="730"/>
      <c r="I885" s="804"/>
      <c r="J885" s="804"/>
      <c r="K885" s="804"/>
      <c r="L885" s="804"/>
      <c r="M885" s="804"/>
      <c r="N885" s="804"/>
      <c r="O885" s="313"/>
    </row>
    <row r="886" spans="1:16">
      <c r="C886" s="735" t="s">
        <v>263</v>
      </c>
      <c r="D886" s="736"/>
      <c r="E886" s="736"/>
      <c r="F886" s="736"/>
      <c r="G886" s="730"/>
      <c r="H886" s="730"/>
      <c r="I886" s="804"/>
      <c r="J886" s="804"/>
      <c r="K886" s="804"/>
      <c r="L886" s="804"/>
      <c r="M886" s="804"/>
      <c r="N886" s="804"/>
      <c r="O886" s="313"/>
    </row>
    <row r="887" spans="1:16">
      <c r="C887" s="735" t="s">
        <v>84</v>
      </c>
      <c r="D887" s="736"/>
      <c r="E887" s="736"/>
      <c r="F887" s="736"/>
      <c r="G887" s="730"/>
      <c r="H887" s="730"/>
      <c r="I887" s="804"/>
      <c r="J887" s="804"/>
      <c r="K887" s="804"/>
      <c r="L887" s="804"/>
      <c r="M887" s="804"/>
      <c r="N887" s="804"/>
      <c r="O887" s="313"/>
    </row>
    <row r="888" spans="1:16">
      <c r="C888" s="735"/>
      <c r="D888" s="736"/>
      <c r="E888" s="736"/>
      <c r="F888" s="736"/>
      <c r="G888" s="730"/>
      <c r="H888" s="730"/>
      <c r="I888" s="804"/>
      <c r="J888" s="804"/>
      <c r="K888" s="804"/>
      <c r="L888" s="804"/>
      <c r="M888" s="804"/>
      <c r="N888" s="804"/>
      <c r="O888" s="313"/>
    </row>
    <row r="889" spans="1:16">
      <c r="C889" s="1547" t="s">
        <v>6</v>
      </c>
      <c r="D889" s="1547"/>
      <c r="E889" s="1547"/>
      <c r="F889" s="1547"/>
      <c r="G889" s="1547"/>
      <c r="H889" s="1547"/>
      <c r="I889" s="1547"/>
      <c r="J889" s="1547"/>
      <c r="K889" s="1547"/>
      <c r="L889" s="1547"/>
      <c r="M889" s="1547"/>
      <c r="N889" s="1547"/>
      <c r="O889" s="1547"/>
    </row>
    <row r="890" spans="1:16">
      <c r="C890" s="1547"/>
      <c r="D890" s="1547"/>
      <c r="E890" s="1547"/>
      <c r="F890" s="1547"/>
      <c r="G890" s="1547"/>
      <c r="H890" s="1547"/>
      <c r="I890" s="1547"/>
      <c r="J890" s="1547"/>
      <c r="K890" s="1547"/>
      <c r="L890" s="1547"/>
      <c r="M890" s="1547"/>
      <c r="N890" s="1547"/>
      <c r="O890" s="1547"/>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7"/>
      <c r="C892" s="725"/>
      <c r="D892" s="538"/>
      <c r="E892" s="313"/>
      <c r="F892" s="707"/>
      <c r="G892" s="313"/>
      <c r="H892" s="708"/>
      <c r="K892" s="564"/>
      <c r="L892" s="564"/>
      <c r="M892" s="564"/>
      <c r="N892" s="653" t="str">
        <f>"Page "&amp;SUM(P$8:P892)&amp;" of "</f>
        <v xml:space="preserve">Page 11 of </v>
      </c>
      <c r="O892" s="654">
        <f>COUNT(P$8:P$56653)</f>
        <v>23</v>
      </c>
      <c r="P892" s="172">
        <v>1</v>
      </c>
    </row>
    <row r="893" spans="1:16">
      <c r="B893" s="347"/>
      <c r="C893" s="313"/>
      <c r="D893" s="538"/>
      <c r="E893" s="313"/>
      <c r="F893" s="313"/>
      <c r="G893" s="313"/>
      <c r="H893" s="708"/>
      <c r="I893" s="313"/>
      <c r="J893" s="426"/>
      <c r="K893" s="313"/>
      <c r="L893" s="313"/>
      <c r="M893" s="313"/>
      <c r="N893" s="313"/>
      <c r="O893" s="313"/>
    </row>
    <row r="894" spans="1:16" ht="18">
      <c r="B894" s="657" t="s">
        <v>466</v>
      </c>
      <c r="C894" s="739" t="s">
        <v>85</v>
      </c>
      <c r="D894" s="538"/>
      <c r="E894" s="313"/>
      <c r="F894" s="313"/>
      <c r="G894" s="313"/>
      <c r="H894" s="708"/>
      <c r="I894" s="708"/>
      <c r="J894" s="730"/>
      <c r="K894" s="708"/>
      <c r="L894" s="708"/>
      <c r="M894" s="708"/>
      <c r="N894" s="708"/>
      <c r="O894" s="313"/>
    </row>
    <row r="895" spans="1:16" ht="18.75">
      <c r="B895" s="657"/>
      <c r="C895" s="656"/>
      <c r="D895" s="538"/>
      <c r="E895" s="313"/>
      <c r="F895" s="313"/>
      <c r="G895" s="313"/>
      <c r="H895" s="708"/>
      <c r="I895" s="708"/>
      <c r="J895" s="730"/>
      <c r="K895" s="708"/>
      <c r="L895" s="708"/>
      <c r="M895" s="708"/>
      <c r="N895" s="708"/>
      <c r="O895" s="313"/>
    </row>
    <row r="896" spans="1:16" ht="18.75">
      <c r="B896" s="657"/>
      <c r="C896" s="656" t="s">
        <v>86</v>
      </c>
      <c r="D896" s="538"/>
      <c r="E896" s="313"/>
      <c r="F896" s="313"/>
      <c r="G896" s="313"/>
      <c r="H896" s="708"/>
      <c r="I896" s="708"/>
      <c r="J896" s="730"/>
      <c r="K896" s="708"/>
      <c r="L896" s="708"/>
      <c r="M896" s="708"/>
      <c r="N896" s="708"/>
      <c r="O896" s="313"/>
    </row>
    <row r="897" spans="2:15" ht="15.75" thickBot="1">
      <c r="C897" s="239"/>
      <c r="D897" s="538"/>
      <c r="E897" s="313"/>
      <c r="F897" s="313"/>
      <c r="G897" s="313"/>
      <c r="H897" s="708"/>
      <c r="I897" s="708"/>
      <c r="J897" s="730"/>
      <c r="K897" s="708"/>
      <c r="L897" s="708"/>
      <c r="M897" s="708"/>
      <c r="N897" s="708"/>
      <c r="O897" s="313"/>
    </row>
    <row r="898" spans="2:15" ht="15.75">
      <c r="C898" s="659" t="s">
        <v>87</v>
      </c>
      <c r="D898" s="538"/>
      <c r="E898" s="313"/>
      <c r="F898" s="313"/>
      <c r="G898" s="806"/>
      <c r="H898" s="313" t="s">
        <v>66</v>
      </c>
      <c r="I898" s="313"/>
      <c r="J898" s="426"/>
      <c r="K898" s="740" t="s">
        <v>91</v>
      </c>
      <c r="L898" s="741"/>
      <c r="M898" s="742"/>
      <c r="N898" s="743">
        <f>IF(I904=0,0,VLOOKUP(I904,C911:O970,5))</f>
        <v>0</v>
      </c>
      <c r="O898" s="313"/>
    </row>
    <row r="899" spans="2:15" ht="15.75">
      <c r="C899" s="659"/>
      <c r="D899" s="538"/>
      <c r="E899" s="313"/>
      <c r="F899" s="313"/>
      <c r="G899" s="313"/>
      <c r="H899" s="744"/>
      <c r="I899" s="744"/>
      <c r="J899" s="745"/>
      <c r="K899" s="746" t="s">
        <v>92</v>
      </c>
      <c r="L899" s="747"/>
      <c r="M899" s="426"/>
      <c r="N899" s="748">
        <f>IF(I904=0,0,VLOOKUP(I904,C911:O970,6))</f>
        <v>0</v>
      </c>
      <c r="O899" s="313"/>
    </row>
    <row r="900" spans="2:15" ht="13.5" thickBot="1">
      <c r="C900" s="749" t="s">
        <v>88</v>
      </c>
      <c r="D900" s="1537" t="s">
        <v>816</v>
      </c>
      <c r="E900" s="1537"/>
      <c r="F900" s="1537"/>
      <c r="G900" s="1537"/>
      <c r="H900" s="1537"/>
      <c r="I900" s="1537"/>
      <c r="J900" s="730"/>
      <c r="K900" s="750" t="s">
        <v>230</v>
      </c>
      <c r="L900" s="751"/>
      <c r="M900" s="751"/>
      <c r="N900" s="752">
        <f>+N899-N898</f>
        <v>0</v>
      </c>
      <c r="O900" s="313"/>
    </row>
    <row r="901" spans="2:15">
      <c r="C901" s="753"/>
      <c r="D901" s="754"/>
      <c r="E901" s="734"/>
      <c r="F901" s="734"/>
      <c r="G901" s="755"/>
      <c r="H901" s="708"/>
      <c r="I901" s="708"/>
      <c r="J901" s="730"/>
      <c r="K901" s="708"/>
      <c r="L901" s="708"/>
      <c r="M901" s="708"/>
      <c r="N901" s="708"/>
      <c r="O901" s="313"/>
    </row>
    <row r="902" spans="2:15" ht="13.5" thickBot="1">
      <c r="C902" s="756"/>
      <c r="D902" s="757"/>
      <c r="E902" s="755"/>
      <c r="F902" s="755"/>
      <c r="G902" s="755"/>
      <c r="H902" s="755"/>
      <c r="I902" s="755"/>
      <c r="J902" s="758"/>
      <c r="K902" s="755"/>
      <c r="L902" s="755"/>
      <c r="M902" s="755"/>
      <c r="N902" s="755"/>
      <c r="O902" s="347"/>
    </row>
    <row r="903" spans="2:15" ht="13.5" thickBot="1">
      <c r="C903" s="759" t="s">
        <v>89</v>
      </c>
      <c r="D903" s="760"/>
      <c r="E903" s="760"/>
      <c r="F903" s="760"/>
      <c r="G903" s="760"/>
      <c r="H903" s="760"/>
      <c r="I903" s="761"/>
      <c r="J903" s="762"/>
      <c r="K903" s="313"/>
      <c r="L903" s="313"/>
      <c r="M903" s="313"/>
      <c r="N903" s="313"/>
      <c r="O903" s="763"/>
    </row>
    <row r="904" spans="2:15" ht="15">
      <c r="C904" s="764" t="s">
        <v>67</v>
      </c>
      <c r="D904" s="808">
        <v>0</v>
      </c>
      <c r="E904" s="725" t="s">
        <v>68</v>
      </c>
      <c r="G904" s="765"/>
      <c r="H904" s="765"/>
      <c r="I904" s="766">
        <f>$L$26</f>
        <v>2023</v>
      </c>
      <c r="J904" s="554"/>
      <c r="K904" s="1536" t="s">
        <v>239</v>
      </c>
      <c r="L904" s="1536"/>
      <c r="M904" s="1536"/>
      <c r="N904" s="1536"/>
      <c r="O904" s="1536"/>
    </row>
    <row r="905" spans="2:15">
      <c r="C905" s="764" t="s">
        <v>70</v>
      </c>
      <c r="D905" s="809">
        <v>2014</v>
      </c>
      <c r="E905" s="764" t="s">
        <v>71</v>
      </c>
      <c r="F905" s="765"/>
      <c r="H905" s="172"/>
      <c r="I905" s="810">
        <f>IF(G898="",0,$F$17)</f>
        <v>0</v>
      </c>
      <c r="J905" s="767"/>
      <c r="K905" s="730" t="s">
        <v>239</v>
      </c>
    </row>
    <row r="906" spans="2:15">
      <c r="C906" s="764" t="s">
        <v>72</v>
      </c>
      <c r="D906" s="808">
        <v>12</v>
      </c>
      <c r="E906" s="764" t="s">
        <v>73</v>
      </c>
      <c r="F906" s="765"/>
      <c r="H906" s="172"/>
      <c r="I906" s="768">
        <f>$G$70</f>
        <v>0.14450383244078713</v>
      </c>
      <c r="J906" s="769"/>
      <c r="K906" s="172" t="str">
        <f>"          INPUT PROJECTED ARR (WITH &amp; WITHOUT INCENTIVES) FROM EACH PRIOR YEAR"</f>
        <v xml:space="preserve">          INPUT PROJECTED ARR (WITH &amp; WITHOUT INCENTIVES) FROM EACH PRIOR YEAR</v>
      </c>
    </row>
    <row r="907" spans="2:15">
      <c r="C907" s="764" t="s">
        <v>74</v>
      </c>
      <c r="D907" s="770">
        <f>$G$79</f>
        <v>35</v>
      </c>
      <c r="E907" s="764" t="s">
        <v>75</v>
      </c>
      <c r="F907" s="765"/>
      <c r="H907" s="172"/>
      <c r="I907" s="768">
        <f>IF(G898="",I906,$G$69)</f>
        <v>0.14450383244078713</v>
      </c>
      <c r="J907" s="771"/>
      <c r="K907" s="172" t="s">
        <v>152</v>
      </c>
    </row>
    <row r="908" spans="2:15" ht="13.5" thickBot="1">
      <c r="C908" s="764" t="s">
        <v>76</v>
      </c>
      <c r="D908" s="807" t="s">
        <v>818</v>
      </c>
      <c r="E908" s="772" t="s">
        <v>77</v>
      </c>
      <c r="F908" s="773"/>
      <c r="G908" s="774"/>
      <c r="H908" s="774"/>
      <c r="I908" s="752">
        <f>IF(D904=0,0,D904/D907)</f>
        <v>0</v>
      </c>
      <c r="J908" s="730"/>
      <c r="K908" s="730" t="s">
        <v>158</v>
      </c>
      <c r="L908" s="730"/>
      <c r="M908" s="730"/>
      <c r="N908" s="730"/>
      <c r="O908" s="426"/>
    </row>
    <row r="909" spans="2:15" ht="38.25">
      <c r="B909" s="845"/>
      <c r="C909" s="775" t="s">
        <v>67</v>
      </c>
      <c r="D909" s="776" t="s">
        <v>78</v>
      </c>
      <c r="E909" s="777" t="s">
        <v>79</v>
      </c>
      <c r="F909" s="776" t="s">
        <v>80</v>
      </c>
      <c r="G909" s="777" t="s">
        <v>151</v>
      </c>
      <c r="H909" s="778" t="s">
        <v>151</v>
      </c>
      <c r="I909" s="775" t="s">
        <v>90</v>
      </c>
      <c r="J909" s="779"/>
      <c r="K909" s="777" t="s">
        <v>160</v>
      </c>
      <c r="L909" s="780"/>
      <c r="M909" s="777" t="s">
        <v>160</v>
      </c>
      <c r="N909" s="780"/>
      <c r="O909" s="780"/>
    </row>
    <row r="910" spans="2:15" ht="13.5" thickBot="1">
      <c r="C910" s="781" t="s">
        <v>469</v>
      </c>
      <c r="D910" s="782" t="s">
        <v>470</v>
      </c>
      <c r="E910" s="781" t="s">
        <v>363</v>
      </c>
      <c r="F910" s="782" t="s">
        <v>470</v>
      </c>
      <c r="G910" s="783" t="s">
        <v>93</v>
      </c>
      <c r="H910" s="784" t="s">
        <v>95</v>
      </c>
      <c r="I910" s="785" t="s">
        <v>15</v>
      </c>
      <c r="J910" s="786"/>
      <c r="K910" s="783" t="s">
        <v>82</v>
      </c>
      <c r="L910" s="787"/>
      <c r="M910" s="783" t="s">
        <v>95</v>
      </c>
      <c r="N910" s="787"/>
      <c r="O910" s="787"/>
    </row>
    <row r="911" spans="2:15">
      <c r="C911" s="788">
        <f>IF(D905= "","-",D905)</f>
        <v>2014</v>
      </c>
      <c r="D911" s="736">
        <f>+D904</f>
        <v>0</v>
      </c>
      <c r="E911" s="789">
        <f>+I908/12*(12-D906)</f>
        <v>0</v>
      </c>
      <c r="F911" s="736">
        <f>+D911-E911</f>
        <v>0</v>
      </c>
      <c r="G911" s="985">
        <f>+$I$96*((D911+F911)/2)+E911</f>
        <v>0</v>
      </c>
      <c r="H911" s="986">
        <f>$I$97*((D911+F911)/2)+E911</f>
        <v>0</v>
      </c>
      <c r="I911" s="792">
        <f>+H911-G911</f>
        <v>0</v>
      </c>
      <c r="J911" s="792"/>
      <c r="K911" s="811">
        <v>1502768</v>
      </c>
      <c r="L911" s="793"/>
      <c r="M911" s="811">
        <v>1502768</v>
      </c>
      <c r="N911" s="793"/>
      <c r="O911" s="793"/>
    </row>
    <row r="912" spans="2:15">
      <c r="C912" s="788">
        <f>IF(D905="","-",+C911+1)</f>
        <v>2015</v>
      </c>
      <c r="D912" s="736">
        <f t="shared" ref="D912:D970" si="54">F911</f>
        <v>0</v>
      </c>
      <c r="E912" s="789">
        <f>IF(D912&gt;$I$908,$I$908,D912)</f>
        <v>0</v>
      </c>
      <c r="F912" s="736">
        <f t="shared" ref="F912:F970" si="55">+D912-E912</f>
        <v>0</v>
      </c>
      <c r="G912" s="794">
        <f t="shared" ref="G912:G970" si="56">+$I$96*((D912+F912)/2)+E912</f>
        <v>0</v>
      </c>
      <c r="H912" s="795">
        <f t="shared" ref="H912:H970" si="57">$I$97*((D912+F912)/2)+E912</f>
        <v>0</v>
      </c>
      <c r="I912" s="792">
        <f t="shared" ref="I912:I970" si="58">+H912-G912</f>
        <v>0</v>
      </c>
      <c r="J912" s="792"/>
      <c r="K912" s="812">
        <v>1736229</v>
      </c>
      <c r="L912" s="796"/>
      <c r="M912" s="812">
        <v>1736229</v>
      </c>
      <c r="N912" s="796"/>
      <c r="O912" s="796"/>
    </row>
    <row r="913" spans="3:15">
      <c r="C913" s="788">
        <f>IF(D905="","-",+C912+1)</f>
        <v>2016</v>
      </c>
      <c r="D913" s="736">
        <f t="shared" si="54"/>
        <v>0</v>
      </c>
      <c r="E913" s="789">
        <f t="shared" ref="E913:E970" si="59">IF(D913&gt;$I$908,$I$908,D913)</f>
        <v>0</v>
      </c>
      <c r="F913" s="736">
        <f t="shared" si="55"/>
        <v>0</v>
      </c>
      <c r="G913" s="794">
        <f t="shared" si="56"/>
        <v>0</v>
      </c>
      <c r="H913" s="795">
        <f t="shared" si="57"/>
        <v>0</v>
      </c>
      <c r="I913" s="792">
        <f t="shared" si="58"/>
        <v>0</v>
      </c>
      <c r="J913" s="792"/>
      <c r="K913" s="812">
        <v>1915973</v>
      </c>
      <c r="L913" s="796"/>
      <c r="M913" s="812">
        <v>1915973</v>
      </c>
      <c r="N913" s="796"/>
      <c r="O913" s="796"/>
    </row>
    <row r="914" spans="3:15">
      <c r="C914" s="788">
        <f>IF(D905="","-",+C913+1)</f>
        <v>2017</v>
      </c>
      <c r="D914" s="736">
        <f t="shared" si="54"/>
        <v>0</v>
      </c>
      <c r="E914" s="789">
        <f t="shared" si="59"/>
        <v>0</v>
      </c>
      <c r="F914" s="736">
        <f t="shared" si="55"/>
        <v>0</v>
      </c>
      <c r="G914" s="794">
        <f t="shared" si="56"/>
        <v>0</v>
      </c>
      <c r="H914" s="795">
        <f t="shared" si="57"/>
        <v>0</v>
      </c>
      <c r="I914" s="792">
        <f t="shared" si="58"/>
        <v>0</v>
      </c>
      <c r="J914" s="792"/>
      <c r="K914" s="812">
        <v>2299209</v>
      </c>
      <c r="L914" s="796"/>
      <c r="M914" s="812">
        <v>2299209</v>
      </c>
      <c r="N914" s="796"/>
      <c r="O914" s="796"/>
    </row>
    <row r="915" spans="3:15">
      <c r="C915" s="788">
        <f>IF(D905="","-",+C914+1)</f>
        <v>2018</v>
      </c>
      <c r="D915" s="736">
        <f t="shared" si="54"/>
        <v>0</v>
      </c>
      <c r="E915" s="789">
        <f t="shared" si="59"/>
        <v>0</v>
      </c>
      <c r="F915" s="736">
        <f t="shared" si="55"/>
        <v>0</v>
      </c>
      <c r="G915" s="794">
        <f t="shared" si="56"/>
        <v>0</v>
      </c>
      <c r="H915" s="795">
        <f t="shared" si="57"/>
        <v>0</v>
      </c>
      <c r="I915" s="792">
        <f t="shared" si="58"/>
        <v>0</v>
      </c>
      <c r="J915" s="792"/>
      <c r="K915" s="812">
        <v>2044134</v>
      </c>
      <c r="L915" s="796"/>
      <c r="M915" s="812">
        <v>2044134</v>
      </c>
      <c r="N915" s="796"/>
      <c r="O915" s="796"/>
    </row>
    <row r="916" spans="3:15">
      <c r="C916" s="1290">
        <f>IF(D905="","-",+C915+1)</f>
        <v>2019</v>
      </c>
      <c r="D916" s="736">
        <f t="shared" si="54"/>
        <v>0</v>
      </c>
      <c r="E916" s="789">
        <f t="shared" si="59"/>
        <v>0</v>
      </c>
      <c r="F916" s="736">
        <f t="shared" si="55"/>
        <v>0</v>
      </c>
      <c r="G916" s="794">
        <f t="shared" si="56"/>
        <v>0</v>
      </c>
      <c r="H916" s="795">
        <f t="shared" si="57"/>
        <v>0</v>
      </c>
      <c r="I916" s="792">
        <f t="shared" si="58"/>
        <v>0</v>
      </c>
      <c r="J916" s="792"/>
      <c r="K916" s="812"/>
      <c r="L916" s="796"/>
      <c r="M916" s="812"/>
      <c r="N916" s="796"/>
      <c r="O916" s="796"/>
    </row>
    <row r="917" spans="3:15">
      <c r="C917" s="788">
        <f>IF(D905="","-",+C916+1)</f>
        <v>2020</v>
      </c>
      <c r="D917" s="736">
        <f t="shared" si="54"/>
        <v>0</v>
      </c>
      <c r="E917" s="789">
        <f t="shared" si="59"/>
        <v>0</v>
      </c>
      <c r="F917" s="736">
        <f t="shared" si="55"/>
        <v>0</v>
      </c>
      <c r="G917" s="794">
        <f t="shared" si="56"/>
        <v>0</v>
      </c>
      <c r="H917" s="795">
        <f t="shared" si="57"/>
        <v>0</v>
      </c>
      <c r="I917" s="792">
        <f t="shared" si="58"/>
        <v>0</v>
      </c>
      <c r="J917" s="792"/>
      <c r="K917" s="812"/>
      <c r="L917" s="796"/>
      <c r="M917" s="812"/>
      <c r="N917" s="796"/>
      <c r="O917" s="796"/>
    </row>
    <row r="918" spans="3:15">
      <c r="C918" s="788">
        <f>IF(D905="","-",+C917+1)</f>
        <v>2021</v>
      </c>
      <c r="D918" s="736">
        <f t="shared" si="54"/>
        <v>0</v>
      </c>
      <c r="E918" s="789">
        <f t="shared" si="59"/>
        <v>0</v>
      </c>
      <c r="F918" s="736">
        <f t="shared" si="55"/>
        <v>0</v>
      </c>
      <c r="G918" s="794">
        <f t="shared" si="56"/>
        <v>0</v>
      </c>
      <c r="H918" s="795">
        <f t="shared" si="57"/>
        <v>0</v>
      </c>
      <c r="I918" s="792">
        <f t="shared" si="58"/>
        <v>0</v>
      </c>
      <c r="J918" s="792"/>
      <c r="K918" s="812"/>
      <c r="L918" s="796"/>
      <c r="M918" s="812"/>
      <c r="N918" s="796"/>
      <c r="O918" s="796"/>
    </row>
    <row r="919" spans="3:15">
      <c r="C919" s="788">
        <f>IF(D905="","-",+C918+1)</f>
        <v>2022</v>
      </c>
      <c r="D919" s="736">
        <f t="shared" si="54"/>
        <v>0</v>
      </c>
      <c r="E919" s="789">
        <f t="shared" si="59"/>
        <v>0</v>
      </c>
      <c r="F919" s="736">
        <f t="shared" si="55"/>
        <v>0</v>
      </c>
      <c r="G919" s="794">
        <f t="shared" si="56"/>
        <v>0</v>
      </c>
      <c r="H919" s="795">
        <f t="shared" si="57"/>
        <v>0</v>
      </c>
      <c r="I919" s="792">
        <f t="shared" si="58"/>
        <v>0</v>
      </c>
      <c r="J919" s="792"/>
      <c r="K919" s="812"/>
      <c r="L919" s="796"/>
      <c r="M919" s="812"/>
      <c r="N919" s="796"/>
      <c r="O919" s="796"/>
    </row>
    <row r="920" spans="3:15">
      <c r="C920" s="788">
        <f>IF(D905="","-",+C919+1)</f>
        <v>2023</v>
      </c>
      <c r="D920" s="736">
        <f t="shared" si="54"/>
        <v>0</v>
      </c>
      <c r="E920" s="789">
        <f t="shared" si="59"/>
        <v>0</v>
      </c>
      <c r="F920" s="736">
        <f t="shared" si="55"/>
        <v>0</v>
      </c>
      <c r="G920" s="794">
        <f t="shared" si="56"/>
        <v>0</v>
      </c>
      <c r="H920" s="795">
        <f t="shared" si="57"/>
        <v>0</v>
      </c>
      <c r="I920" s="792">
        <f t="shared" si="58"/>
        <v>0</v>
      </c>
      <c r="J920" s="792"/>
      <c r="K920" s="812"/>
      <c r="L920" s="796"/>
      <c r="M920" s="812"/>
      <c r="N920" s="796"/>
      <c r="O920" s="796"/>
    </row>
    <row r="921" spans="3:15">
      <c r="C921" s="788">
        <f>IF(D905="","-",+C920+1)</f>
        <v>2024</v>
      </c>
      <c r="D921" s="736">
        <f t="shared" si="54"/>
        <v>0</v>
      </c>
      <c r="E921" s="789">
        <f t="shared" si="59"/>
        <v>0</v>
      </c>
      <c r="F921" s="736">
        <f t="shared" si="55"/>
        <v>0</v>
      </c>
      <c r="G921" s="794">
        <f t="shared" si="56"/>
        <v>0</v>
      </c>
      <c r="H921" s="795">
        <f t="shared" si="57"/>
        <v>0</v>
      </c>
      <c r="I921" s="792">
        <f t="shared" si="58"/>
        <v>0</v>
      </c>
      <c r="J921" s="792"/>
      <c r="K921" s="812"/>
      <c r="L921" s="796"/>
      <c r="M921" s="812"/>
      <c r="N921" s="796"/>
      <c r="O921" s="796"/>
    </row>
    <row r="922" spans="3:15">
      <c r="C922" s="788">
        <f>IF(D905="","-",+C921+1)</f>
        <v>2025</v>
      </c>
      <c r="D922" s="736">
        <f t="shared" si="54"/>
        <v>0</v>
      </c>
      <c r="E922" s="789">
        <f t="shared" si="59"/>
        <v>0</v>
      </c>
      <c r="F922" s="736">
        <f t="shared" si="55"/>
        <v>0</v>
      </c>
      <c r="G922" s="794">
        <f t="shared" si="56"/>
        <v>0</v>
      </c>
      <c r="H922" s="795">
        <f t="shared" si="57"/>
        <v>0</v>
      </c>
      <c r="I922" s="792">
        <f t="shared" si="58"/>
        <v>0</v>
      </c>
      <c r="J922" s="792"/>
      <c r="K922" s="812"/>
      <c r="L922" s="796"/>
      <c r="M922" s="812"/>
      <c r="N922" s="796"/>
      <c r="O922" s="796"/>
    </row>
    <row r="923" spans="3:15">
      <c r="C923" s="788">
        <f>IF(D905="","-",+C922+1)</f>
        <v>2026</v>
      </c>
      <c r="D923" s="736">
        <f t="shared" si="54"/>
        <v>0</v>
      </c>
      <c r="E923" s="789">
        <f t="shared" si="59"/>
        <v>0</v>
      </c>
      <c r="F923" s="736">
        <f t="shared" si="55"/>
        <v>0</v>
      </c>
      <c r="G923" s="794">
        <f t="shared" si="56"/>
        <v>0</v>
      </c>
      <c r="H923" s="795">
        <f t="shared" si="57"/>
        <v>0</v>
      </c>
      <c r="I923" s="792">
        <f t="shared" si="58"/>
        <v>0</v>
      </c>
      <c r="J923" s="792"/>
      <c r="K923" s="812"/>
      <c r="L923" s="796"/>
      <c r="M923" s="812"/>
      <c r="N923" s="797"/>
      <c r="O923" s="796"/>
    </row>
    <row r="924" spans="3:15">
      <c r="C924" s="788">
        <f>IF(D905="","-",+C923+1)</f>
        <v>2027</v>
      </c>
      <c r="D924" s="736">
        <f t="shared" si="54"/>
        <v>0</v>
      </c>
      <c r="E924" s="789">
        <f t="shared" si="59"/>
        <v>0</v>
      </c>
      <c r="F924" s="736">
        <f t="shared" si="55"/>
        <v>0</v>
      </c>
      <c r="G924" s="794">
        <f t="shared" si="56"/>
        <v>0</v>
      </c>
      <c r="H924" s="795">
        <f t="shared" si="57"/>
        <v>0</v>
      </c>
      <c r="I924" s="792">
        <f t="shared" si="58"/>
        <v>0</v>
      </c>
      <c r="J924" s="792"/>
      <c r="K924" s="812"/>
      <c r="L924" s="796"/>
      <c r="M924" s="812"/>
      <c r="N924" s="796"/>
      <c r="O924" s="796"/>
    </row>
    <row r="925" spans="3:15">
      <c r="C925" s="788">
        <f>IF(D905="","-",+C924+1)</f>
        <v>2028</v>
      </c>
      <c r="D925" s="736">
        <f t="shared" si="54"/>
        <v>0</v>
      </c>
      <c r="E925" s="789">
        <f t="shared" si="59"/>
        <v>0</v>
      </c>
      <c r="F925" s="736">
        <f t="shared" si="55"/>
        <v>0</v>
      </c>
      <c r="G925" s="794">
        <f t="shared" si="56"/>
        <v>0</v>
      </c>
      <c r="H925" s="795">
        <f t="shared" si="57"/>
        <v>0</v>
      </c>
      <c r="I925" s="792">
        <f t="shared" si="58"/>
        <v>0</v>
      </c>
      <c r="J925" s="792"/>
      <c r="K925" s="812"/>
      <c r="L925" s="796"/>
      <c r="M925" s="812"/>
      <c r="N925" s="796"/>
      <c r="O925" s="796"/>
    </row>
    <row r="926" spans="3:15">
      <c r="C926" s="788">
        <f>IF(D905="","-",+C925+1)</f>
        <v>2029</v>
      </c>
      <c r="D926" s="736">
        <f t="shared" si="54"/>
        <v>0</v>
      </c>
      <c r="E926" s="789">
        <f t="shared" si="59"/>
        <v>0</v>
      </c>
      <c r="F926" s="736">
        <f t="shared" si="55"/>
        <v>0</v>
      </c>
      <c r="G926" s="794">
        <f t="shared" si="56"/>
        <v>0</v>
      </c>
      <c r="H926" s="795">
        <f t="shared" si="57"/>
        <v>0</v>
      </c>
      <c r="I926" s="792">
        <f t="shared" si="58"/>
        <v>0</v>
      </c>
      <c r="J926" s="792"/>
      <c r="K926" s="812"/>
      <c r="L926" s="796"/>
      <c r="M926" s="812"/>
      <c r="N926" s="796"/>
      <c r="O926" s="796"/>
    </row>
    <row r="927" spans="3:15">
      <c r="C927" s="788">
        <f>IF(D905="","-",+C926+1)</f>
        <v>2030</v>
      </c>
      <c r="D927" s="736">
        <f t="shared" si="54"/>
        <v>0</v>
      </c>
      <c r="E927" s="789">
        <f t="shared" si="59"/>
        <v>0</v>
      </c>
      <c r="F927" s="736">
        <f t="shared" si="55"/>
        <v>0</v>
      </c>
      <c r="G927" s="794">
        <f t="shared" si="56"/>
        <v>0</v>
      </c>
      <c r="H927" s="795">
        <f t="shared" si="57"/>
        <v>0</v>
      </c>
      <c r="I927" s="792">
        <f t="shared" si="58"/>
        <v>0</v>
      </c>
      <c r="J927" s="792"/>
      <c r="K927" s="812"/>
      <c r="L927" s="796"/>
      <c r="M927" s="812"/>
      <c r="N927" s="796"/>
      <c r="O927" s="796"/>
    </row>
    <row r="928" spans="3:15">
      <c r="C928" s="788">
        <f>IF(D905="","-",+C927+1)</f>
        <v>2031</v>
      </c>
      <c r="D928" s="736">
        <f t="shared" si="54"/>
        <v>0</v>
      </c>
      <c r="E928" s="789">
        <f t="shared" si="59"/>
        <v>0</v>
      </c>
      <c r="F928" s="736">
        <f t="shared" si="55"/>
        <v>0</v>
      </c>
      <c r="G928" s="794">
        <f t="shared" si="56"/>
        <v>0</v>
      </c>
      <c r="H928" s="795">
        <f t="shared" si="57"/>
        <v>0</v>
      </c>
      <c r="I928" s="792">
        <f t="shared" si="58"/>
        <v>0</v>
      </c>
      <c r="J928" s="792"/>
      <c r="K928" s="812"/>
      <c r="L928" s="796"/>
      <c r="M928" s="812"/>
      <c r="N928" s="796"/>
      <c r="O928" s="796"/>
    </row>
    <row r="929" spans="3:15">
      <c r="C929" s="788">
        <f>IF(D905="","-",+C928+1)</f>
        <v>2032</v>
      </c>
      <c r="D929" s="736">
        <f t="shared" si="54"/>
        <v>0</v>
      </c>
      <c r="E929" s="789">
        <f t="shared" si="59"/>
        <v>0</v>
      </c>
      <c r="F929" s="736">
        <f t="shared" si="55"/>
        <v>0</v>
      </c>
      <c r="G929" s="794">
        <f t="shared" si="56"/>
        <v>0</v>
      </c>
      <c r="H929" s="795">
        <f t="shared" si="57"/>
        <v>0</v>
      </c>
      <c r="I929" s="792">
        <f t="shared" si="58"/>
        <v>0</v>
      </c>
      <c r="J929" s="792"/>
      <c r="K929" s="812"/>
      <c r="L929" s="796"/>
      <c r="M929" s="812"/>
      <c r="N929" s="796"/>
      <c r="O929" s="796"/>
    </row>
    <row r="930" spans="3:15">
      <c r="C930" s="788">
        <f>IF(D905="","-",+C929+1)</f>
        <v>2033</v>
      </c>
      <c r="D930" s="736">
        <f t="shared" si="54"/>
        <v>0</v>
      </c>
      <c r="E930" s="789">
        <f t="shared" si="59"/>
        <v>0</v>
      </c>
      <c r="F930" s="736">
        <f t="shared" si="55"/>
        <v>0</v>
      </c>
      <c r="G930" s="794">
        <f t="shared" si="56"/>
        <v>0</v>
      </c>
      <c r="H930" s="795">
        <f t="shared" si="57"/>
        <v>0</v>
      </c>
      <c r="I930" s="792">
        <f t="shared" si="58"/>
        <v>0</v>
      </c>
      <c r="J930" s="792"/>
      <c r="K930" s="812"/>
      <c r="L930" s="796"/>
      <c r="M930" s="812"/>
      <c r="N930" s="796"/>
      <c r="O930" s="796"/>
    </row>
    <row r="931" spans="3:15">
      <c r="C931" s="788">
        <f>IF(D905="","-",+C930+1)</f>
        <v>2034</v>
      </c>
      <c r="D931" s="736">
        <f t="shared" si="54"/>
        <v>0</v>
      </c>
      <c r="E931" s="789">
        <f t="shared" si="59"/>
        <v>0</v>
      </c>
      <c r="F931" s="736">
        <f t="shared" si="55"/>
        <v>0</v>
      </c>
      <c r="G931" s="794">
        <f t="shared" si="56"/>
        <v>0</v>
      </c>
      <c r="H931" s="795">
        <f t="shared" si="57"/>
        <v>0</v>
      </c>
      <c r="I931" s="792">
        <f t="shared" si="58"/>
        <v>0</v>
      </c>
      <c r="J931" s="792"/>
      <c r="K931" s="812"/>
      <c r="L931" s="796"/>
      <c r="M931" s="812"/>
      <c r="N931" s="796"/>
      <c r="O931" s="796"/>
    </row>
    <row r="932" spans="3:15">
      <c r="C932" s="788">
        <f>IF(D905="","-",+C931+1)</f>
        <v>2035</v>
      </c>
      <c r="D932" s="736">
        <f t="shared" si="54"/>
        <v>0</v>
      </c>
      <c r="E932" s="789">
        <f t="shared" si="59"/>
        <v>0</v>
      </c>
      <c r="F932" s="736">
        <f t="shared" si="55"/>
        <v>0</v>
      </c>
      <c r="G932" s="794">
        <f t="shared" si="56"/>
        <v>0</v>
      </c>
      <c r="H932" s="795">
        <f t="shared" si="57"/>
        <v>0</v>
      </c>
      <c r="I932" s="792">
        <f t="shared" si="58"/>
        <v>0</v>
      </c>
      <c r="J932" s="792"/>
      <c r="K932" s="812"/>
      <c r="L932" s="796"/>
      <c r="M932" s="812"/>
      <c r="N932" s="796"/>
      <c r="O932" s="796"/>
    </row>
    <row r="933" spans="3:15">
      <c r="C933" s="788">
        <f>IF(D905="","-",+C932+1)</f>
        <v>2036</v>
      </c>
      <c r="D933" s="736">
        <f t="shared" si="54"/>
        <v>0</v>
      </c>
      <c r="E933" s="789">
        <f t="shared" si="59"/>
        <v>0</v>
      </c>
      <c r="F933" s="736">
        <f t="shared" si="55"/>
        <v>0</v>
      </c>
      <c r="G933" s="794">
        <f t="shared" si="56"/>
        <v>0</v>
      </c>
      <c r="H933" s="795">
        <f t="shared" si="57"/>
        <v>0</v>
      </c>
      <c r="I933" s="792">
        <f t="shared" si="58"/>
        <v>0</v>
      </c>
      <c r="J933" s="792"/>
      <c r="K933" s="812"/>
      <c r="L933" s="796"/>
      <c r="M933" s="812"/>
      <c r="N933" s="796"/>
      <c r="O933" s="796"/>
    </row>
    <row r="934" spans="3:15">
      <c r="C934" s="788">
        <f>IF(D905="","-",+C933+1)</f>
        <v>2037</v>
      </c>
      <c r="D934" s="736">
        <f t="shared" si="54"/>
        <v>0</v>
      </c>
      <c r="E934" s="789">
        <f t="shared" si="59"/>
        <v>0</v>
      </c>
      <c r="F934" s="736">
        <f t="shared" si="55"/>
        <v>0</v>
      </c>
      <c r="G934" s="794">
        <f t="shared" si="56"/>
        <v>0</v>
      </c>
      <c r="H934" s="795">
        <f t="shared" si="57"/>
        <v>0</v>
      </c>
      <c r="I934" s="792">
        <f t="shared" si="58"/>
        <v>0</v>
      </c>
      <c r="J934" s="792"/>
      <c r="K934" s="812"/>
      <c r="L934" s="796"/>
      <c r="M934" s="812"/>
      <c r="N934" s="796"/>
      <c r="O934" s="796"/>
    </row>
    <row r="935" spans="3:15">
      <c r="C935" s="788">
        <f>IF(D905="","-",+C934+1)</f>
        <v>2038</v>
      </c>
      <c r="D935" s="736">
        <f t="shared" si="54"/>
        <v>0</v>
      </c>
      <c r="E935" s="789">
        <f t="shared" si="59"/>
        <v>0</v>
      </c>
      <c r="F935" s="736">
        <f t="shared" si="55"/>
        <v>0</v>
      </c>
      <c r="G935" s="794">
        <f t="shared" si="56"/>
        <v>0</v>
      </c>
      <c r="H935" s="795">
        <f t="shared" si="57"/>
        <v>0</v>
      </c>
      <c r="I935" s="792">
        <f t="shared" si="58"/>
        <v>0</v>
      </c>
      <c r="J935" s="792"/>
      <c r="K935" s="812"/>
      <c r="L935" s="796"/>
      <c r="M935" s="812"/>
      <c r="N935" s="796"/>
      <c r="O935" s="796"/>
    </row>
    <row r="936" spans="3:15">
      <c r="C936" s="788">
        <f>IF(D905="","-",+C935+1)</f>
        <v>2039</v>
      </c>
      <c r="D936" s="736">
        <f t="shared" si="54"/>
        <v>0</v>
      </c>
      <c r="E936" s="789">
        <f t="shared" si="59"/>
        <v>0</v>
      </c>
      <c r="F936" s="736">
        <f t="shared" si="55"/>
        <v>0</v>
      </c>
      <c r="G936" s="794">
        <f t="shared" si="56"/>
        <v>0</v>
      </c>
      <c r="H936" s="795">
        <f t="shared" si="57"/>
        <v>0</v>
      </c>
      <c r="I936" s="792">
        <f t="shared" si="58"/>
        <v>0</v>
      </c>
      <c r="J936" s="792"/>
      <c r="K936" s="812"/>
      <c r="L936" s="796"/>
      <c r="M936" s="812"/>
      <c r="N936" s="796"/>
      <c r="O936" s="796"/>
    </row>
    <row r="937" spans="3:15">
      <c r="C937" s="788">
        <f>IF(D905="","-",+C936+1)</f>
        <v>2040</v>
      </c>
      <c r="D937" s="736">
        <f t="shared" si="54"/>
        <v>0</v>
      </c>
      <c r="E937" s="789">
        <f t="shared" si="59"/>
        <v>0</v>
      </c>
      <c r="F937" s="736">
        <f t="shared" si="55"/>
        <v>0</v>
      </c>
      <c r="G937" s="794">
        <f t="shared" si="56"/>
        <v>0</v>
      </c>
      <c r="H937" s="795">
        <f t="shared" si="57"/>
        <v>0</v>
      </c>
      <c r="I937" s="792">
        <f t="shared" si="58"/>
        <v>0</v>
      </c>
      <c r="J937" s="792"/>
      <c r="K937" s="812"/>
      <c r="L937" s="796"/>
      <c r="M937" s="812"/>
      <c r="N937" s="796"/>
      <c r="O937" s="796"/>
    </row>
    <row r="938" spans="3:15">
      <c r="C938" s="788">
        <f>IF(D905="","-",+C937+1)</f>
        <v>2041</v>
      </c>
      <c r="D938" s="736">
        <f t="shared" si="54"/>
        <v>0</v>
      </c>
      <c r="E938" s="789">
        <f t="shared" si="59"/>
        <v>0</v>
      </c>
      <c r="F938" s="736">
        <f t="shared" si="55"/>
        <v>0</v>
      </c>
      <c r="G938" s="794">
        <f t="shared" si="56"/>
        <v>0</v>
      </c>
      <c r="H938" s="795">
        <f t="shared" si="57"/>
        <v>0</v>
      </c>
      <c r="I938" s="792">
        <f t="shared" si="58"/>
        <v>0</v>
      </c>
      <c r="J938" s="792"/>
      <c r="K938" s="812"/>
      <c r="L938" s="796"/>
      <c r="M938" s="812"/>
      <c r="N938" s="796"/>
      <c r="O938" s="796"/>
    </row>
    <row r="939" spans="3:15">
      <c r="C939" s="788">
        <f>IF(D905="","-",+C938+1)</f>
        <v>2042</v>
      </c>
      <c r="D939" s="736">
        <f t="shared" si="54"/>
        <v>0</v>
      </c>
      <c r="E939" s="789">
        <f t="shared" si="59"/>
        <v>0</v>
      </c>
      <c r="F939" s="736">
        <f t="shared" si="55"/>
        <v>0</v>
      </c>
      <c r="G939" s="790">
        <f t="shared" si="56"/>
        <v>0</v>
      </c>
      <c r="H939" s="795">
        <f t="shared" si="57"/>
        <v>0</v>
      </c>
      <c r="I939" s="792">
        <f t="shared" si="58"/>
        <v>0</v>
      </c>
      <c r="J939" s="792"/>
      <c r="K939" s="812"/>
      <c r="L939" s="796"/>
      <c r="M939" s="812"/>
      <c r="N939" s="796"/>
      <c r="O939" s="796"/>
    </row>
    <row r="940" spans="3:15">
      <c r="C940" s="788">
        <f>IF(D905="","-",+C939+1)</f>
        <v>2043</v>
      </c>
      <c r="D940" s="736">
        <f t="shared" si="54"/>
        <v>0</v>
      </c>
      <c r="E940" s="789">
        <f t="shared" si="59"/>
        <v>0</v>
      </c>
      <c r="F940" s="736">
        <f t="shared" si="55"/>
        <v>0</v>
      </c>
      <c r="G940" s="794">
        <f t="shared" si="56"/>
        <v>0</v>
      </c>
      <c r="H940" s="795">
        <f t="shared" si="57"/>
        <v>0</v>
      </c>
      <c r="I940" s="792">
        <f t="shared" si="58"/>
        <v>0</v>
      </c>
      <c r="J940" s="792"/>
      <c r="K940" s="812"/>
      <c r="L940" s="796"/>
      <c r="M940" s="812"/>
      <c r="N940" s="796"/>
      <c r="O940" s="796"/>
    </row>
    <row r="941" spans="3:15">
      <c r="C941" s="788">
        <f>IF(D905="","-",+C940+1)</f>
        <v>2044</v>
      </c>
      <c r="D941" s="736">
        <f t="shared" si="54"/>
        <v>0</v>
      </c>
      <c r="E941" s="789">
        <f t="shared" si="59"/>
        <v>0</v>
      </c>
      <c r="F941" s="736">
        <f t="shared" si="55"/>
        <v>0</v>
      </c>
      <c r="G941" s="794">
        <f t="shared" si="56"/>
        <v>0</v>
      </c>
      <c r="H941" s="795">
        <f t="shared" si="57"/>
        <v>0</v>
      </c>
      <c r="I941" s="792">
        <f t="shared" si="58"/>
        <v>0</v>
      </c>
      <c r="J941" s="792"/>
      <c r="K941" s="812"/>
      <c r="L941" s="796"/>
      <c r="M941" s="812"/>
      <c r="N941" s="796"/>
      <c r="O941" s="796"/>
    </row>
    <row r="942" spans="3:15">
      <c r="C942" s="788">
        <f>IF(D905="","-",+C941+1)</f>
        <v>2045</v>
      </c>
      <c r="D942" s="736">
        <f t="shared" si="54"/>
        <v>0</v>
      </c>
      <c r="E942" s="789">
        <f t="shared" si="59"/>
        <v>0</v>
      </c>
      <c r="F942" s="736">
        <f t="shared" si="55"/>
        <v>0</v>
      </c>
      <c r="G942" s="794">
        <f t="shared" si="56"/>
        <v>0</v>
      </c>
      <c r="H942" s="795">
        <f t="shared" si="57"/>
        <v>0</v>
      </c>
      <c r="I942" s="792">
        <f t="shared" si="58"/>
        <v>0</v>
      </c>
      <c r="J942" s="792"/>
      <c r="K942" s="812"/>
      <c r="L942" s="796"/>
      <c r="M942" s="812"/>
      <c r="N942" s="796"/>
      <c r="O942" s="796"/>
    </row>
    <row r="943" spans="3:15">
      <c r="C943" s="788">
        <f>IF(D905="","-",+C942+1)</f>
        <v>2046</v>
      </c>
      <c r="D943" s="736">
        <f t="shared" si="54"/>
        <v>0</v>
      </c>
      <c r="E943" s="789">
        <f t="shared" si="59"/>
        <v>0</v>
      </c>
      <c r="F943" s="736">
        <f t="shared" si="55"/>
        <v>0</v>
      </c>
      <c r="G943" s="794">
        <f t="shared" si="56"/>
        <v>0</v>
      </c>
      <c r="H943" s="795">
        <f t="shared" si="57"/>
        <v>0</v>
      </c>
      <c r="I943" s="792">
        <f t="shared" si="58"/>
        <v>0</v>
      </c>
      <c r="J943" s="792"/>
      <c r="K943" s="812"/>
      <c r="L943" s="796"/>
      <c r="M943" s="812"/>
      <c r="N943" s="796"/>
      <c r="O943" s="796"/>
    </row>
    <row r="944" spans="3:15">
      <c r="C944" s="788">
        <f>IF(D905="","-",+C943+1)</f>
        <v>2047</v>
      </c>
      <c r="D944" s="736">
        <f t="shared" si="54"/>
        <v>0</v>
      </c>
      <c r="E944" s="789">
        <f t="shared" si="59"/>
        <v>0</v>
      </c>
      <c r="F944" s="736">
        <f t="shared" si="55"/>
        <v>0</v>
      </c>
      <c r="G944" s="794">
        <f t="shared" si="56"/>
        <v>0</v>
      </c>
      <c r="H944" s="795">
        <f t="shared" si="57"/>
        <v>0</v>
      </c>
      <c r="I944" s="792">
        <f t="shared" si="58"/>
        <v>0</v>
      </c>
      <c r="J944" s="792"/>
      <c r="K944" s="812"/>
      <c r="L944" s="796"/>
      <c r="M944" s="812"/>
      <c r="N944" s="796"/>
      <c r="O944" s="796"/>
    </row>
    <row r="945" spans="3:15">
      <c r="C945" s="788">
        <f>IF(D905="","-",+C944+1)</f>
        <v>2048</v>
      </c>
      <c r="D945" s="736">
        <f t="shared" si="54"/>
        <v>0</v>
      </c>
      <c r="E945" s="789">
        <f t="shared" si="59"/>
        <v>0</v>
      </c>
      <c r="F945" s="736">
        <f t="shared" si="55"/>
        <v>0</v>
      </c>
      <c r="G945" s="794">
        <f t="shared" si="56"/>
        <v>0</v>
      </c>
      <c r="H945" s="795">
        <f t="shared" si="57"/>
        <v>0</v>
      </c>
      <c r="I945" s="792">
        <f t="shared" si="58"/>
        <v>0</v>
      </c>
      <c r="J945" s="792"/>
      <c r="K945" s="812"/>
      <c r="L945" s="796"/>
      <c r="M945" s="812"/>
      <c r="N945" s="796"/>
      <c r="O945" s="796"/>
    </row>
    <row r="946" spans="3:15">
      <c r="C946" s="788">
        <f>IF(D905="","-",+C945+1)</f>
        <v>2049</v>
      </c>
      <c r="D946" s="736">
        <f t="shared" si="54"/>
        <v>0</v>
      </c>
      <c r="E946" s="789">
        <f t="shared" si="59"/>
        <v>0</v>
      </c>
      <c r="F946" s="736">
        <f t="shared" si="55"/>
        <v>0</v>
      </c>
      <c r="G946" s="794">
        <f t="shared" si="56"/>
        <v>0</v>
      </c>
      <c r="H946" s="795">
        <f t="shared" si="57"/>
        <v>0</v>
      </c>
      <c r="I946" s="792">
        <f t="shared" si="58"/>
        <v>0</v>
      </c>
      <c r="J946" s="792"/>
      <c r="K946" s="812"/>
      <c r="L946" s="796"/>
      <c r="M946" s="812"/>
      <c r="N946" s="796"/>
      <c r="O946" s="796"/>
    </row>
    <row r="947" spans="3:15">
      <c r="C947" s="788">
        <f>IF(D905="","-",+C946+1)</f>
        <v>2050</v>
      </c>
      <c r="D947" s="736">
        <f t="shared" si="54"/>
        <v>0</v>
      </c>
      <c r="E947" s="789">
        <f t="shared" si="59"/>
        <v>0</v>
      </c>
      <c r="F947" s="736">
        <f t="shared" si="55"/>
        <v>0</v>
      </c>
      <c r="G947" s="794">
        <f t="shared" si="56"/>
        <v>0</v>
      </c>
      <c r="H947" s="795">
        <f t="shared" si="57"/>
        <v>0</v>
      </c>
      <c r="I947" s="792">
        <f t="shared" si="58"/>
        <v>0</v>
      </c>
      <c r="J947" s="792"/>
      <c r="K947" s="812"/>
      <c r="L947" s="796"/>
      <c r="M947" s="812"/>
      <c r="N947" s="796"/>
      <c r="O947" s="796"/>
    </row>
    <row r="948" spans="3:15">
      <c r="C948" s="788">
        <f>IF(D905="","-",+C947+1)</f>
        <v>2051</v>
      </c>
      <c r="D948" s="736">
        <f t="shared" si="54"/>
        <v>0</v>
      </c>
      <c r="E948" s="789">
        <f t="shared" si="59"/>
        <v>0</v>
      </c>
      <c r="F948" s="736">
        <f t="shared" si="55"/>
        <v>0</v>
      </c>
      <c r="G948" s="794">
        <f t="shared" si="56"/>
        <v>0</v>
      </c>
      <c r="H948" s="795">
        <f t="shared" si="57"/>
        <v>0</v>
      </c>
      <c r="I948" s="792">
        <f t="shared" si="58"/>
        <v>0</v>
      </c>
      <c r="J948" s="792"/>
      <c r="K948" s="812"/>
      <c r="L948" s="796"/>
      <c r="M948" s="812"/>
      <c r="N948" s="796"/>
      <c r="O948" s="796"/>
    </row>
    <row r="949" spans="3:15">
      <c r="C949" s="788">
        <f>IF(D905="","-",+C948+1)</f>
        <v>2052</v>
      </c>
      <c r="D949" s="736">
        <f t="shared" si="54"/>
        <v>0</v>
      </c>
      <c r="E949" s="789">
        <f t="shared" si="59"/>
        <v>0</v>
      </c>
      <c r="F949" s="736">
        <f t="shared" si="55"/>
        <v>0</v>
      </c>
      <c r="G949" s="794">
        <f t="shared" si="56"/>
        <v>0</v>
      </c>
      <c r="H949" s="795">
        <f t="shared" si="57"/>
        <v>0</v>
      </c>
      <c r="I949" s="792">
        <f t="shared" si="58"/>
        <v>0</v>
      </c>
      <c r="J949" s="792"/>
      <c r="K949" s="812"/>
      <c r="L949" s="796"/>
      <c r="M949" s="812"/>
      <c r="N949" s="796"/>
      <c r="O949" s="796"/>
    </row>
    <row r="950" spans="3:15">
      <c r="C950" s="788">
        <f>IF(D905="","-",+C949+1)</f>
        <v>2053</v>
      </c>
      <c r="D950" s="736">
        <f t="shared" si="54"/>
        <v>0</v>
      </c>
      <c r="E950" s="789">
        <f t="shared" si="59"/>
        <v>0</v>
      </c>
      <c r="F950" s="736">
        <f t="shared" si="55"/>
        <v>0</v>
      </c>
      <c r="G950" s="794">
        <f t="shared" si="56"/>
        <v>0</v>
      </c>
      <c r="H950" s="795">
        <f t="shared" si="57"/>
        <v>0</v>
      </c>
      <c r="I950" s="792">
        <f t="shared" si="58"/>
        <v>0</v>
      </c>
      <c r="J950" s="792"/>
      <c r="K950" s="812"/>
      <c r="L950" s="796"/>
      <c r="M950" s="812"/>
      <c r="N950" s="796"/>
      <c r="O950" s="796"/>
    </row>
    <row r="951" spans="3:15">
      <c r="C951" s="788">
        <f>IF(D905="","-",+C950+1)</f>
        <v>2054</v>
      </c>
      <c r="D951" s="736">
        <f t="shared" si="54"/>
        <v>0</v>
      </c>
      <c r="E951" s="789">
        <f t="shared" si="59"/>
        <v>0</v>
      </c>
      <c r="F951" s="736">
        <f t="shared" si="55"/>
        <v>0</v>
      </c>
      <c r="G951" s="794">
        <f t="shared" si="56"/>
        <v>0</v>
      </c>
      <c r="H951" s="795">
        <f t="shared" si="57"/>
        <v>0</v>
      </c>
      <c r="I951" s="792">
        <f t="shared" si="58"/>
        <v>0</v>
      </c>
      <c r="J951" s="792"/>
      <c r="K951" s="812"/>
      <c r="L951" s="796"/>
      <c r="M951" s="812"/>
      <c r="N951" s="796"/>
      <c r="O951" s="796"/>
    </row>
    <row r="952" spans="3:15">
      <c r="C952" s="788">
        <f>IF(D905="","-",+C951+1)</f>
        <v>2055</v>
      </c>
      <c r="D952" s="736">
        <f t="shared" si="54"/>
        <v>0</v>
      </c>
      <c r="E952" s="789">
        <f t="shared" si="59"/>
        <v>0</v>
      </c>
      <c r="F952" s="736">
        <f t="shared" si="55"/>
        <v>0</v>
      </c>
      <c r="G952" s="794">
        <f t="shared" si="56"/>
        <v>0</v>
      </c>
      <c r="H952" s="795">
        <f t="shared" si="57"/>
        <v>0</v>
      </c>
      <c r="I952" s="792">
        <f t="shared" si="58"/>
        <v>0</v>
      </c>
      <c r="J952" s="792"/>
      <c r="K952" s="812"/>
      <c r="L952" s="796"/>
      <c r="M952" s="812"/>
      <c r="N952" s="796"/>
      <c r="O952" s="796"/>
    </row>
    <row r="953" spans="3:15">
      <c r="C953" s="788">
        <f>IF(D905="","-",+C952+1)</f>
        <v>2056</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2057</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2058</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2059</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2060</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2061</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2062</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2063</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2064</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2065</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2066</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2067</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2068</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2069</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2070</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2071</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2072</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2073</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83</v>
      </c>
      <c r="D971" s="730"/>
      <c r="E971" s="730">
        <f>SUM(E911:E970)</f>
        <v>0</v>
      </c>
      <c r="F971" s="730"/>
      <c r="G971" s="730">
        <f>SUM(G911:G970)</f>
        <v>0</v>
      </c>
      <c r="H971" s="730">
        <f>SUM(H911:H970)</f>
        <v>0</v>
      </c>
      <c r="I971" s="730">
        <f>SUM(I911:I970)</f>
        <v>0</v>
      </c>
      <c r="J971" s="730"/>
      <c r="K971" s="730"/>
      <c r="L971" s="730"/>
      <c r="M971" s="730"/>
      <c r="N971" s="730"/>
      <c r="O971" s="313"/>
    </row>
    <row r="972" spans="3:15">
      <c r="D972" s="538"/>
      <c r="E972" s="313"/>
      <c r="F972" s="313"/>
      <c r="G972" s="313"/>
      <c r="H972" s="708"/>
      <c r="I972" s="708"/>
      <c r="J972" s="730"/>
      <c r="K972" s="708"/>
      <c r="L972" s="708"/>
      <c r="M972" s="708"/>
      <c r="N972" s="708"/>
      <c r="O972" s="313"/>
    </row>
    <row r="973" spans="3:15">
      <c r="C973" s="313" t="s">
        <v>13</v>
      </c>
      <c r="D973" s="538"/>
      <c r="E973" s="313"/>
      <c r="F973" s="313"/>
      <c r="G973" s="313"/>
      <c r="H973" s="708"/>
      <c r="I973" s="708"/>
      <c r="J973" s="730"/>
      <c r="K973" s="708"/>
      <c r="L973" s="708"/>
      <c r="M973" s="708"/>
      <c r="N973" s="708"/>
      <c r="O973" s="313"/>
    </row>
    <row r="974" spans="3:15">
      <c r="C974" s="313"/>
      <c r="D974" s="538"/>
      <c r="E974" s="313"/>
      <c r="F974" s="313"/>
      <c r="G974" s="313"/>
      <c r="H974" s="708"/>
      <c r="I974" s="708"/>
      <c r="J974" s="730"/>
      <c r="K974" s="708"/>
      <c r="L974" s="708"/>
      <c r="M974" s="708"/>
      <c r="N974" s="708"/>
      <c r="O974" s="313"/>
    </row>
    <row r="975" spans="3:15">
      <c r="C975" s="749" t="s">
        <v>14</v>
      </c>
      <c r="D975" s="736"/>
      <c r="E975" s="736"/>
      <c r="F975" s="736"/>
      <c r="G975" s="730"/>
      <c r="H975" s="730"/>
      <c r="I975" s="804"/>
      <c r="J975" s="804"/>
      <c r="K975" s="804"/>
      <c r="L975" s="804"/>
      <c r="M975" s="804"/>
      <c r="N975" s="804"/>
      <c r="O975" s="313"/>
    </row>
    <row r="976" spans="3:15">
      <c r="C976" s="735" t="s">
        <v>263</v>
      </c>
      <c r="D976" s="736"/>
      <c r="E976" s="736"/>
      <c r="F976" s="736"/>
      <c r="G976" s="730"/>
      <c r="H976" s="730"/>
      <c r="I976" s="804"/>
      <c r="J976" s="804"/>
      <c r="K976" s="804"/>
      <c r="L976" s="804"/>
      <c r="M976" s="804"/>
      <c r="N976" s="804"/>
      <c r="O976" s="313"/>
    </row>
    <row r="977" spans="1:16">
      <c r="C977" s="735" t="s">
        <v>84</v>
      </c>
      <c r="D977" s="736"/>
      <c r="E977" s="736"/>
      <c r="F977" s="736"/>
      <c r="G977" s="730"/>
      <c r="H977" s="730"/>
      <c r="I977" s="804"/>
      <c r="J977" s="804"/>
      <c r="K977" s="804"/>
      <c r="L977" s="804"/>
      <c r="M977" s="804"/>
      <c r="N977" s="804"/>
      <c r="O977" s="313"/>
    </row>
    <row r="978" spans="1:16">
      <c r="C978" s="735"/>
      <c r="D978" s="736"/>
      <c r="E978" s="736"/>
      <c r="F978" s="736"/>
      <c r="G978" s="730"/>
      <c r="H978" s="730"/>
      <c r="I978" s="804"/>
      <c r="J978" s="804"/>
      <c r="K978" s="804"/>
      <c r="L978" s="804"/>
      <c r="M978" s="804"/>
      <c r="N978" s="804"/>
      <c r="O978" s="313"/>
    </row>
    <row r="979" spans="1:16">
      <c r="C979" s="1547" t="s">
        <v>6</v>
      </c>
      <c r="D979" s="1547"/>
      <c r="E979" s="1547"/>
      <c r="F979" s="1547"/>
      <c r="G979" s="1547"/>
      <c r="H979" s="1547"/>
      <c r="I979" s="1547"/>
      <c r="J979" s="1547"/>
      <c r="K979" s="1547"/>
      <c r="L979" s="1547"/>
      <c r="M979" s="1547"/>
      <c r="N979" s="1547"/>
      <c r="O979" s="1547"/>
    </row>
    <row r="980" spans="1:16">
      <c r="C980" s="1547"/>
      <c r="D980" s="1547"/>
      <c r="E980" s="1547"/>
      <c r="F980" s="1547"/>
      <c r="G980" s="1547"/>
      <c r="H980" s="1547"/>
      <c r="I980" s="1547"/>
      <c r="J980" s="1547"/>
      <c r="K980" s="1547"/>
      <c r="L980" s="1547"/>
      <c r="M980" s="1547"/>
      <c r="N980" s="1547"/>
      <c r="O980" s="1547"/>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7"/>
      <c r="C982" s="725"/>
      <c r="D982" s="538"/>
      <c r="E982" s="313"/>
      <c r="F982" s="707"/>
      <c r="G982" s="313"/>
      <c r="H982" s="708"/>
      <c r="K982" s="564"/>
      <c r="L982" s="564"/>
      <c r="M982" s="564"/>
      <c r="N982" s="653" t="str">
        <f>"Page "&amp;SUM(P$8:P982)&amp;" of "</f>
        <v xml:space="preserve">Page 12 of </v>
      </c>
      <c r="O982" s="654">
        <f>COUNT(P$8:P$56653)</f>
        <v>23</v>
      </c>
      <c r="P982" s="172">
        <v>1</v>
      </c>
    </row>
    <row r="983" spans="1:16">
      <c r="B983" s="347"/>
      <c r="C983" s="313"/>
      <c r="D983" s="538"/>
      <c r="E983" s="313"/>
      <c r="F983" s="313"/>
      <c r="G983" s="313"/>
      <c r="H983" s="708"/>
      <c r="I983" s="313"/>
      <c r="J983" s="426"/>
      <c r="K983" s="313"/>
      <c r="L983" s="313"/>
      <c r="M983" s="313"/>
      <c r="N983" s="313"/>
      <c r="O983" s="313"/>
    </row>
    <row r="984" spans="1:16" ht="18">
      <c r="B984" s="657" t="s">
        <v>466</v>
      </c>
      <c r="C984" s="739" t="s">
        <v>85</v>
      </c>
      <c r="D984" s="538"/>
      <c r="E984" s="313"/>
      <c r="F984" s="313"/>
      <c r="G984" s="313"/>
      <c r="H984" s="708"/>
      <c r="I984" s="708"/>
      <c r="J984" s="730"/>
      <c r="K984" s="708"/>
      <c r="L984" s="708"/>
      <c r="M984" s="708"/>
      <c r="N984" s="708"/>
      <c r="O984" s="313"/>
    </row>
    <row r="985" spans="1:16" ht="18.75">
      <c r="B985" s="657"/>
      <c r="C985" s="656"/>
      <c r="D985" s="538"/>
      <c r="E985" s="313"/>
      <c r="F985" s="313"/>
      <c r="G985" s="313"/>
      <c r="H985" s="708"/>
      <c r="I985" s="708"/>
      <c r="J985" s="730"/>
      <c r="K985" s="708"/>
      <c r="L985" s="708"/>
      <c r="M985" s="708"/>
      <c r="N985" s="708"/>
      <c r="O985" s="313"/>
    </row>
    <row r="986" spans="1:16" ht="18.75">
      <c r="B986" s="657"/>
      <c r="C986" s="656" t="s">
        <v>86</v>
      </c>
      <c r="D986" s="538"/>
      <c r="E986" s="313"/>
      <c r="F986" s="313"/>
      <c r="G986" s="313"/>
      <c r="H986" s="708"/>
      <c r="I986" s="708"/>
      <c r="J986" s="730"/>
      <c r="K986" s="708"/>
      <c r="L986" s="708"/>
      <c r="M986" s="708"/>
      <c r="N986" s="708"/>
      <c r="O986" s="313"/>
    </row>
    <row r="987" spans="1:16" ht="15.75" thickBot="1">
      <c r="C987" s="239"/>
      <c r="D987" s="538"/>
      <c r="E987" s="313"/>
      <c r="F987" s="313"/>
      <c r="G987" s="313"/>
      <c r="H987" s="708"/>
      <c r="I987" s="708"/>
      <c r="J987" s="730"/>
      <c r="K987" s="708"/>
      <c r="L987" s="708"/>
      <c r="M987" s="708"/>
      <c r="N987" s="708"/>
      <c r="O987" s="313"/>
    </row>
    <row r="988" spans="1:16" ht="15.75">
      <c r="C988" s="659" t="s">
        <v>87</v>
      </c>
      <c r="D988" s="538"/>
      <c r="E988" s="313"/>
      <c r="F988" s="313"/>
      <c r="G988" s="806"/>
      <c r="H988" s="313" t="s">
        <v>66</v>
      </c>
      <c r="I988" s="313"/>
      <c r="J988" s="426"/>
      <c r="K988" s="740" t="s">
        <v>91</v>
      </c>
      <c r="L988" s="741"/>
      <c r="M988" s="742"/>
      <c r="N988" s="743">
        <f>IF(I994=0,0,VLOOKUP(I994,C1001:O1060,5))</f>
        <v>1839736.2223145794</v>
      </c>
      <c r="O988" s="313"/>
    </row>
    <row r="989" spans="1:16" ht="15.75">
      <c r="C989" s="659"/>
      <c r="D989" s="538"/>
      <c r="E989" s="313"/>
      <c r="F989" s="313"/>
      <c r="G989" s="313"/>
      <c r="H989" s="744"/>
      <c r="I989" s="744"/>
      <c r="J989" s="745"/>
      <c r="K989" s="746" t="s">
        <v>92</v>
      </c>
      <c r="L989" s="747"/>
      <c r="M989" s="426"/>
      <c r="N989" s="748">
        <f>IF(I994=0,0,VLOOKUP(I994,C1001:O1060,6))</f>
        <v>1839736.2223145794</v>
      </c>
      <c r="O989" s="313"/>
    </row>
    <row r="990" spans="1:16" ht="13.5" thickBot="1">
      <c r="C990" s="749" t="s">
        <v>88</v>
      </c>
      <c r="D990" s="1537" t="s">
        <v>819</v>
      </c>
      <c r="E990" s="1537"/>
      <c r="F990" s="1537"/>
      <c r="G990" s="1537"/>
      <c r="H990" s="1537"/>
      <c r="I990" s="1537"/>
      <c r="J990" s="730"/>
      <c r="K990" s="750" t="s">
        <v>230</v>
      </c>
      <c r="L990" s="751"/>
      <c r="M990" s="751"/>
      <c r="N990" s="752">
        <f>+N989-N988</f>
        <v>0</v>
      </c>
      <c r="O990" s="313"/>
    </row>
    <row r="991" spans="1:16">
      <c r="C991" s="753"/>
      <c r="D991" s="754"/>
      <c r="E991" s="734"/>
      <c r="F991" s="734"/>
      <c r="G991" s="755"/>
      <c r="H991" s="708"/>
      <c r="I991" s="708"/>
      <c r="J991" s="730"/>
      <c r="K991" s="708"/>
      <c r="L991" s="708"/>
      <c r="M991" s="708"/>
      <c r="N991" s="708"/>
      <c r="O991" s="313"/>
    </row>
    <row r="992" spans="1:16" ht="13.5" thickBot="1">
      <c r="C992" s="756"/>
      <c r="D992" s="757"/>
      <c r="E992" s="755"/>
      <c r="F992" s="755"/>
      <c r="G992" s="755"/>
      <c r="H992" s="755"/>
      <c r="I992" s="755"/>
      <c r="J992" s="758"/>
      <c r="K992" s="755"/>
      <c r="L992" s="755"/>
      <c r="M992" s="755"/>
      <c r="N992" s="755"/>
      <c r="O992" s="347"/>
    </row>
    <row r="993" spans="2:15" ht="13.5" thickBot="1">
      <c r="C993" s="759" t="s">
        <v>89</v>
      </c>
      <c r="D993" s="760"/>
      <c r="E993" s="760"/>
      <c r="F993" s="760"/>
      <c r="G993" s="760"/>
      <c r="H993" s="760"/>
      <c r="I993" s="761"/>
      <c r="J993" s="762"/>
      <c r="K993" s="313"/>
      <c r="L993" s="313"/>
      <c r="M993" s="313"/>
      <c r="N993" s="313"/>
      <c r="O993" s="763"/>
    </row>
    <row r="994" spans="2:15" ht="15">
      <c r="C994" s="764" t="s">
        <v>67</v>
      </c>
      <c r="D994" s="808">
        <v>13744474</v>
      </c>
      <c r="E994" s="725" t="s">
        <v>68</v>
      </c>
      <c r="G994" s="765"/>
      <c r="H994" s="765"/>
      <c r="I994" s="766">
        <f>$L$26</f>
        <v>2023</v>
      </c>
      <c r="J994" s="554"/>
      <c r="K994" s="1536" t="s">
        <v>239</v>
      </c>
      <c r="L994" s="1536"/>
      <c r="M994" s="1536"/>
      <c r="N994" s="1536"/>
      <c r="O994" s="1536"/>
    </row>
    <row r="995" spans="2:15">
      <c r="C995" s="764" t="s">
        <v>70</v>
      </c>
      <c r="D995" s="809">
        <v>2013</v>
      </c>
      <c r="E995" s="764" t="s">
        <v>71</v>
      </c>
      <c r="F995" s="765"/>
      <c r="H995" s="172"/>
      <c r="I995" s="810">
        <f>IF(G988="",0,$F$17)</f>
        <v>0</v>
      </c>
      <c r="J995" s="767"/>
      <c r="K995" s="730" t="s">
        <v>239</v>
      </c>
    </row>
    <row r="996" spans="2:15">
      <c r="C996" s="764" t="s">
        <v>72</v>
      </c>
      <c r="D996" s="808">
        <v>12</v>
      </c>
      <c r="E996" s="764" t="s">
        <v>73</v>
      </c>
      <c r="F996" s="765"/>
      <c r="H996" s="172"/>
      <c r="I996" s="768">
        <f>$G$70</f>
        <v>0.14450383244078713</v>
      </c>
      <c r="J996" s="769"/>
      <c r="K996" s="172" t="str">
        <f>"          INPUT PROJECTED ARR (WITH &amp; WITHOUT INCENTIVES) FROM EACH PRIOR YEAR"</f>
        <v xml:space="preserve">          INPUT PROJECTED ARR (WITH &amp; WITHOUT INCENTIVES) FROM EACH PRIOR YEAR</v>
      </c>
    </row>
    <row r="997" spans="2:15">
      <c r="C997" s="764" t="s">
        <v>74</v>
      </c>
      <c r="D997" s="770">
        <f>$G$79</f>
        <v>35</v>
      </c>
      <c r="E997" s="764" t="s">
        <v>75</v>
      </c>
      <c r="F997" s="765"/>
      <c r="H997" s="172"/>
      <c r="I997" s="768">
        <f>IF(G988="",I996,$G$69)</f>
        <v>0.14450383244078713</v>
      </c>
      <c r="J997" s="771"/>
      <c r="K997" s="172" t="s">
        <v>152</v>
      </c>
    </row>
    <row r="998" spans="2:15" ht="13.5" thickBot="1">
      <c r="C998" s="764" t="s">
        <v>76</v>
      </c>
      <c r="D998" s="807" t="s">
        <v>808</v>
      </c>
      <c r="E998" s="772" t="s">
        <v>77</v>
      </c>
      <c r="F998" s="773"/>
      <c r="G998" s="774"/>
      <c r="H998" s="774"/>
      <c r="I998" s="752">
        <f>IF(D994=0,0,D994/D997)</f>
        <v>392699.25714285712</v>
      </c>
      <c r="J998" s="730"/>
      <c r="K998" s="730" t="s">
        <v>158</v>
      </c>
      <c r="L998" s="730"/>
      <c r="M998" s="730"/>
      <c r="N998" s="730"/>
      <c r="O998" s="426"/>
    </row>
    <row r="999" spans="2:15" ht="38.25">
      <c r="B999" s="845"/>
      <c r="C999" s="775" t="s">
        <v>67</v>
      </c>
      <c r="D999" s="776" t="s">
        <v>78</v>
      </c>
      <c r="E999" s="777" t="s">
        <v>79</v>
      </c>
      <c r="F999" s="776" t="s">
        <v>80</v>
      </c>
      <c r="G999" s="777" t="s">
        <v>151</v>
      </c>
      <c r="H999" s="778" t="s">
        <v>151</v>
      </c>
      <c r="I999" s="775" t="s">
        <v>90</v>
      </c>
      <c r="J999" s="779"/>
      <c r="K999" s="777" t="s">
        <v>160</v>
      </c>
      <c r="L999" s="780"/>
      <c r="M999" s="777" t="s">
        <v>160</v>
      </c>
      <c r="N999" s="780"/>
      <c r="O999" s="780"/>
    </row>
    <row r="1000" spans="2:15" ht="13.5" thickBot="1">
      <c r="C1000" s="781" t="s">
        <v>469</v>
      </c>
      <c r="D1000" s="782" t="s">
        <v>470</v>
      </c>
      <c r="E1000" s="781" t="s">
        <v>363</v>
      </c>
      <c r="F1000" s="782" t="s">
        <v>470</v>
      </c>
      <c r="G1000" s="783" t="s">
        <v>93</v>
      </c>
      <c r="H1000" s="784" t="s">
        <v>95</v>
      </c>
      <c r="I1000" s="785" t="s">
        <v>15</v>
      </c>
      <c r="J1000" s="786"/>
      <c r="K1000" s="783" t="s">
        <v>82</v>
      </c>
      <c r="L1000" s="787"/>
      <c r="M1000" s="783" t="s">
        <v>95</v>
      </c>
      <c r="N1000" s="787"/>
      <c r="O1000" s="787"/>
    </row>
    <row r="1001" spans="2:15">
      <c r="C1001" s="788">
        <f>IF(D995= "","-",D995)</f>
        <v>2013</v>
      </c>
      <c r="D1001" s="736">
        <f>+D994</f>
        <v>13744474</v>
      </c>
      <c r="E1001" s="789">
        <f>+I998/12*(12-D996)</f>
        <v>0</v>
      </c>
      <c r="F1001" s="736">
        <f>+D1001-E1001</f>
        <v>13744474</v>
      </c>
      <c r="G1001" s="985">
        <f>+$I$96*((D1001+F1001)/2)+E1001</f>
        <v>1986129.1678827552</v>
      </c>
      <c r="H1001" s="986">
        <f>$I$97*((D1001+F1001)/2)+E1001</f>
        <v>1986129.1678827552</v>
      </c>
      <c r="I1001" s="792">
        <f>+H1001-G1001</f>
        <v>0</v>
      </c>
      <c r="J1001" s="792"/>
      <c r="K1001" s="811" t="s">
        <v>820</v>
      </c>
      <c r="L1001" s="793"/>
      <c r="M1001" s="811" t="s">
        <v>820</v>
      </c>
      <c r="N1001" s="793"/>
      <c r="O1001" s="793"/>
    </row>
    <row r="1002" spans="2:15">
      <c r="C1002" s="788">
        <f>IF(D995="","-",+C1001+1)</f>
        <v>2014</v>
      </c>
      <c r="D1002" s="736">
        <f t="shared" ref="D1002:D1060" si="60">F1001</f>
        <v>13744474</v>
      </c>
      <c r="E1002" s="789">
        <f>IF(D1002&gt;$I$998,$I$998,D1002)</f>
        <v>392699.25714285712</v>
      </c>
      <c r="F1002" s="736">
        <f t="shared" ref="F1002:F1060" si="61">+D1002-E1002</f>
        <v>13351774.742857143</v>
      </c>
      <c r="G1002" s="794">
        <f t="shared" ref="G1002:G1060" si="62">+$I$96*((D1002+F1002)/2)+E1002</f>
        <v>2350455.1511987159</v>
      </c>
      <c r="H1002" s="795">
        <f t="shared" ref="H1002:H1060" si="63">$I$97*((D1002+F1002)/2)+E1002</f>
        <v>2350455.1511987159</v>
      </c>
      <c r="I1002" s="792">
        <f t="shared" ref="I1002:I1060" si="64">+H1002-G1002</f>
        <v>0</v>
      </c>
      <c r="J1002" s="792"/>
      <c r="K1002" s="812">
        <v>294473</v>
      </c>
      <c r="L1002" s="796"/>
      <c r="M1002" s="812">
        <v>294473</v>
      </c>
      <c r="N1002" s="796"/>
      <c r="O1002" s="796"/>
    </row>
    <row r="1003" spans="2:15">
      <c r="C1003" s="788">
        <f>IF(D995="","-",+C1002+1)</f>
        <v>2015</v>
      </c>
      <c r="D1003" s="736">
        <f t="shared" si="60"/>
        <v>13351774.742857143</v>
      </c>
      <c r="E1003" s="789">
        <f t="shared" ref="E1003:E1060" si="65">IF(D1003&gt;$I$998,$I$998,D1003)</f>
        <v>392699.25714285712</v>
      </c>
      <c r="F1003" s="736">
        <f t="shared" si="61"/>
        <v>12959075.485714287</v>
      </c>
      <c r="G1003" s="794">
        <f t="shared" si="62"/>
        <v>2293708.603544923</v>
      </c>
      <c r="H1003" s="795">
        <f t="shared" si="63"/>
        <v>2293708.603544923</v>
      </c>
      <c r="I1003" s="792">
        <f t="shared" si="64"/>
        <v>0</v>
      </c>
      <c r="J1003" s="792"/>
      <c r="K1003" s="812">
        <v>1769452</v>
      </c>
      <c r="L1003" s="796"/>
      <c r="M1003" s="812">
        <v>1769452</v>
      </c>
      <c r="N1003" s="796"/>
      <c r="O1003" s="796"/>
    </row>
    <row r="1004" spans="2:15">
      <c r="C1004" s="788">
        <f>IF(D995="","-",+C1003+1)</f>
        <v>2016</v>
      </c>
      <c r="D1004" s="736">
        <f t="shared" si="60"/>
        <v>12959075.485714287</v>
      </c>
      <c r="E1004" s="789">
        <f t="shared" si="65"/>
        <v>392699.25714285712</v>
      </c>
      <c r="F1004" s="736">
        <f t="shared" si="61"/>
        <v>12566376.22857143</v>
      </c>
      <c r="G1004" s="794">
        <f t="shared" si="62"/>
        <v>2236962.0558911301</v>
      </c>
      <c r="H1004" s="795">
        <f t="shared" si="63"/>
        <v>2236962.0558911301</v>
      </c>
      <c r="I1004" s="792">
        <f t="shared" si="64"/>
        <v>0</v>
      </c>
      <c r="J1004" s="792"/>
      <c r="K1004" s="812">
        <v>1930442</v>
      </c>
      <c r="L1004" s="796"/>
      <c r="M1004" s="812">
        <v>1930442</v>
      </c>
      <c r="N1004" s="796"/>
      <c r="O1004" s="796"/>
    </row>
    <row r="1005" spans="2:15">
      <c r="C1005" s="788">
        <f>IF(D995="","-",+C1004+1)</f>
        <v>2017</v>
      </c>
      <c r="D1005" s="736">
        <f t="shared" si="60"/>
        <v>12566376.22857143</v>
      </c>
      <c r="E1005" s="789">
        <f t="shared" si="65"/>
        <v>392699.25714285712</v>
      </c>
      <c r="F1005" s="736">
        <f t="shared" si="61"/>
        <v>12173676.971428573</v>
      </c>
      <c r="G1005" s="794">
        <f t="shared" si="62"/>
        <v>2180215.5082373368</v>
      </c>
      <c r="H1005" s="795">
        <f t="shared" si="63"/>
        <v>2180215.5082373368</v>
      </c>
      <c r="I1005" s="792">
        <f t="shared" si="64"/>
        <v>0</v>
      </c>
      <c r="J1005" s="792"/>
      <c r="K1005" s="812">
        <v>2311328</v>
      </c>
      <c r="L1005" s="796"/>
      <c r="M1005" s="812">
        <v>2311328</v>
      </c>
      <c r="N1005" s="796"/>
      <c r="O1005" s="796"/>
    </row>
    <row r="1006" spans="2:15">
      <c r="C1006" s="1312">
        <f>IF(D995="","-",+C1005+1)</f>
        <v>2018</v>
      </c>
      <c r="D1006" s="736">
        <f t="shared" si="60"/>
        <v>12173676.971428573</v>
      </c>
      <c r="E1006" s="789">
        <f t="shared" si="65"/>
        <v>392699.25714285712</v>
      </c>
      <c r="F1006" s="736">
        <f t="shared" si="61"/>
        <v>11780977.714285716</v>
      </c>
      <c r="G1006" s="794">
        <f t="shared" si="62"/>
        <v>2123468.9605835439</v>
      </c>
      <c r="H1006" s="795">
        <f t="shared" si="63"/>
        <v>2123468.9605835439</v>
      </c>
      <c r="I1006" s="792">
        <f t="shared" si="64"/>
        <v>0</v>
      </c>
      <c r="J1006" s="792"/>
      <c r="K1006" s="812">
        <v>2058707</v>
      </c>
      <c r="L1006" s="796"/>
      <c r="M1006" s="812"/>
      <c r="N1006" s="796"/>
      <c r="O1006" s="796"/>
    </row>
    <row r="1007" spans="2:15">
      <c r="C1007" s="1290">
        <f>IF(D995="","-",+C1006+1)</f>
        <v>2019</v>
      </c>
      <c r="D1007" s="736">
        <f t="shared" si="60"/>
        <v>11780977.714285716</v>
      </c>
      <c r="E1007" s="789">
        <f t="shared" si="65"/>
        <v>392699.25714285712</v>
      </c>
      <c r="F1007" s="736">
        <f t="shared" si="61"/>
        <v>11388278.45714286</v>
      </c>
      <c r="G1007" s="794">
        <f t="shared" si="62"/>
        <v>2066722.4129297512</v>
      </c>
      <c r="H1007" s="795">
        <f t="shared" si="63"/>
        <v>2066722.4129297512</v>
      </c>
      <c r="I1007" s="792">
        <f t="shared" si="64"/>
        <v>0</v>
      </c>
      <c r="J1007" s="792"/>
      <c r="K1007" s="812"/>
      <c r="L1007" s="796"/>
      <c r="M1007" s="812"/>
      <c r="N1007" s="796"/>
      <c r="O1007" s="796"/>
    </row>
    <row r="1008" spans="2:15">
      <c r="C1008" s="788">
        <f>IF(D995="","-",+C1007+1)</f>
        <v>2020</v>
      </c>
      <c r="D1008" s="736">
        <f t="shared" si="60"/>
        <v>11388278.45714286</v>
      </c>
      <c r="E1008" s="789">
        <f t="shared" si="65"/>
        <v>392699.25714285712</v>
      </c>
      <c r="F1008" s="736">
        <f t="shared" si="61"/>
        <v>10995579.200000003</v>
      </c>
      <c r="G1008" s="794">
        <f t="shared" si="62"/>
        <v>2009975.8652759583</v>
      </c>
      <c r="H1008" s="795">
        <f t="shared" si="63"/>
        <v>2009975.8652759583</v>
      </c>
      <c r="I1008" s="792">
        <f t="shared" si="64"/>
        <v>0</v>
      </c>
      <c r="J1008" s="792"/>
      <c r="K1008" s="812"/>
      <c r="L1008" s="796"/>
      <c r="M1008" s="812"/>
      <c r="N1008" s="796"/>
      <c r="O1008" s="796"/>
    </row>
    <row r="1009" spans="3:15">
      <c r="C1009" s="788">
        <f>IF(D995="","-",+C1008+1)</f>
        <v>2021</v>
      </c>
      <c r="D1009" s="736">
        <f t="shared" si="60"/>
        <v>10995579.200000003</v>
      </c>
      <c r="E1009" s="789">
        <f t="shared" si="65"/>
        <v>392699.25714285712</v>
      </c>
      <c r="F1009" s="736">
        <f t="shared" si="61"/>
        <v>10602879.942857146</v>
      </c>
      <c r="G1009" s="794">
        <f t="shared" si="62"/>
        <v>1953229.3176221654</v>
      </c>
      <c r="H1009" s="795">
        <f t="shared" si="63"/>
        <v>1953229.3176221654</v>
      </c>
      <c r="I1009" s="792">
        <f t="shared" si="64"/>
        <v>0</v>
      </c>
      <c r="J1009" s="792"/>
      <c r="K1009" s="812"/>
      <c r="L1009" s="796"/>
      <c r="M1009" s="812"/>
      <c r="N1009" s="796"/>
      <c r="O1009" s="796"/>
    </row>
    <row r="1010" spans="3:15">
      <c r="C1010" s="788">
        <f>IF(D995="","-",+C1009+1)</f>
        <v>2022</v>
      </c>
      <c r="D1010" s="736">
        <f t="shared" si="60"/>
        <v>10602879.942857146</v>
      </c>
      <c r="E1010" s="789">
        <f t="shared" si="65"/>
        <v>392699.25714285712</v>
      </c>
      <c r="F1010" s="736">
        <f t="shared" si="61"/>
        <v>10210180.68571429</v>
      </c>
      <c r="G1010" s="794">
        <f t="shared" si="62"/>
        <v>1896482.7699683723</v>
      </c>
      <c r="H1010" s="795">
        <f t="shared" si="63"/>
        <v>1896482.7699683723</v>
      </c>
      <c r="I1010" s="792">
        <f t="shared" si="64"/>
        <v>0</v>
      </c>
      <c r="J1010" s="792"/>
      <c r="K1010" s="812"/>
      <c r="L1010" s="796"/>
      <c r="M1010" s="812"/>
      <c r="N1010" s="796"/>
      <c r="O1010" s="796"/>
    </row>
    <row r="1011" spans="3:15">
      <c r="C1011" s="788">
        <f>IF(D995="","-",+C1010+1)</f>
        <v>2023</v>
      </c>
      <c r="D1011" s="736">
        <f t="shared" si="60"/>
        <v>10210180.68571429</v>
      </c>
      <c r="E1011" s="789">
        <f t="shared" si="65"/>
        <v>392699.25714285712</v>
      </c>
      <c r="F1011" s="736">
        <f t="shared" si="61"/>
        <v>9817481.4285714328</v>
      </c>
      <c r="G1011" s="794">
        <f t="shared" si="62"/>
        <v>1839736.2223145794</v>
      </c>
      <c r="H1011" s="795">
        <f t="shared" si="63"/>
        <v>1839736.2223145794</v>
      </c>
      <c r="I1011" s="792">
        <f t="shared" si="64"/>
        <v>0</v>
      </c>
      <c r="J1011" s="792"/>
      <c r="K1011" s="812"/>
      <c r="L1011" s="796"/>
      <c r="M1011" s="812"/>
      <c r="N1011" s="796"/>
      <c r="O1011" s="796"/>
    </row>
    <row r="1012" spans="3:15">
      <c r="C1012" s="788">
        <f>IF(D995="","-",+C1011+1)</f>
        <v>2024</v>
      </c>
      <c r="D1012" s="736">
        <f t="shared" si="60"/>
        <v>9817481.4285714328</v>
      </c>
      <c r="E1012" s="789">
        <f t="shared" si="65"/>
        <v>392699.25714285712</v>
      </c>
      <c r="F1012" s="736">
        <f t="shared" si="61"/>
        <v>9424782.1714285761</v>
      </c>
      <c r="G1012" s="794">
        <f t="shared" si="62"/>
        <v>1782989.6746607865</v>
      </c>
      <c r="H1012" s="795">
        <f t="shared" si="63"/>
        <v>1782989.6746607865</v>
      </c>
      <c r="I1012" s="792">
        <f t="shared" si="64"/>
        <v>0</v>
      </c>
      <c r="J1012" s="792"/>
      <c r="K1012" s="812"/>
      <c r="L1012" s="796"/>
      <c r="M1012" s="812"/>
      <c r="N1012" s="796"/>
      <c r="O1012" s="796"/>
    </row>
    <row r="1013" spans="3:15">
      <c r="C1013" s="788">
        <f>IF(D995="","-",+C1012+1)</f>
        <v>2025</v>
      </c>
      <c r="D1013" s="736">
        <f t="shared" si="60"/>
        <v>9424782.1714285761</v>
      </c>
      <c r="E1013" s="789">
        <f t="shared" si="65"/>
        <v>392699.25714285712</v>
      </c>
      <c r="F1013" s="736">
        <f t="shared" si="61"/>
        <v>9032082.9142857194</v>
      </c>
      <c r="G1013" s="794">
        <f t="shared" si="62"/>
        <v>1726243.1270069936</v>
      </c>
      <c r="H1013" s="795">
        <f t="shared" si="63"/>
        <v>1726243.1270069936</v>
      </c>
      <c r="I1013" s="792">
        <f t="shared" si="64"/>
        <v>0</v>
      </c>
      <c r="J1013" s="792"/>
      <c r="K1013" s="812"/>
      <c r="L1013" s="796"/>
      <c r="M1013" s="812"/>
      <c r="N1013" s="797"/>
      <c r="O1013" s="796"/>
    </row>
    <row r="1014" spans="3:15">
      <c r="C1014" s="788">
        <f>IF(D995="","-",+C1013+1)</f>
        <v>2026</v>
      </c>
      <c r="D1014" s="736">
        <f t="shared" si="60"/>
        <v>9032082.9142857194</v>
      </c>
      <c r="E1014" s="789">
        <f t="shared" si="65"/>
        <v>392699.25714285712</v>
      </c>
      <c r="F1014" s="736">
        <f t="shared" si="61"/>
        <v>8639383.6571428627</v>
      </c>
      <c r="G1014" s="794">
        <f t="shared" si="62"/>
        <v>1669496.5793532005</v>
      </c>
      <c r="H1014" s="795">
        <f t="shared" si="63"/>
        <v>1669496.5793532005</v>
      </c>
      <c r="I1014" s="792">
        <f t="shared" si="64"/>
        <v>0</v>
      </c>
      <c r="J1014" s="792"/>
      <c r="K1014" s="812"/>
      <c r="L1014" s="796"/>
      <c r="M1014" s="812"/>
      <c r="N1014" s="796"/>
      <c r="O1014" s="796"/>
    </row>
    <row r="1015" spans="3:15">
      <c r="C1015" s="788">
        <f>IF(D995="","-",+C1014+1)</f>
        <v>2027</v>
      </c>
      <c r="D1015" s="736">
        <f t="shared" si="60"/>
        <v>8639383.6571428627</v>
      </c>
      <c r="E1015" s="789">
        <f t="shared" si="65"/>
        <v>392699.25714285712</v>
      </c>
      <c r="F1015" s="736">
        <f t="shared" si="61"/>
        <v>8246684.400000006</v>
      </c>
      <c r="G1015" s="794">
        <f t="shared" si="62"/>
        <v>1612750.0316994076</v>
      </c>
      <c r="H1015" s="795">
        <f t="shared" si="63"/>
        <v>1612750.0316994076</v>
      </c>
      <c r="I1015" s="792">
        <f t="shared" si="64"/>
        <v>0</v>
      </c>
      <c r="J1015" s="792"/>
      <c r="K1015" s="812"/>
      <c r="L1015" s="796"/>
      <c r="M1015" s="812"/>
      <c r="N1015" s="796"/>
      <c r="O1015" s="796"/>
    </row>
    <row r="1016" spans="3:15">
      <c r="C1016" s="788">
        <f>IF(D995="","-",+C1015+1)</f>
        <v>2028</v>
      </c>
      <c r="D1016" s="736">
        <f t="shared" si="60"/>
        <v>8246684.400000006</v>
      </c>
      <c r="E1016" s="789">
        <f t="shared" si="65"/>
        <v>392699.25714285712</v>
      </c>
      <c r="F1016" s="736">
        <f t="shared" si="61"/>
        <v>7853985.1428571492</v>
      </c>
      <c r="G1016" s="794">
        <f t="shared" si="62"/>
        <v>1556003.4840456147</v>
      </c>
      <c r="H1016" s="795">
        <f t="shared" si="63"/>
        <v>1556003.4840456147</v>
      </c>
      <c r="I1016" s="792">
        <f t="shared" si="64"/>
        <v>0</v>
      </c>
      <c r="J1016" s="792"/>
      <c r="K1016" s="812"/>
      <c r="L1016" s="796"/>
      <c r="M1016" s="812"/>
      <c r="N1016" s="796"/>
      <c r="O1016" s="796"/>
    </row>
    <row r="1017" spans="3:15">
      <c r="C1017" s="788">
        <f>IF(D995="","-",+C1016+1)</f>
        <v>2029</v>
      </c>
      <c r="D1017" s="736">
        <f t="shared" si="60"/>
        <v>7853985.1428571492</v>
      </c>
      <c r="E1017" s="789">
        <f t="shared" si="65"/>
        <v>392699.25714285712</v>
      </c>
      <c r="F1017" s="736">
        <f t="shared" si="61"/>
        <v>7461285.8857142925</v>
      </c>
      <c r="G1017" s="794">
        <f t="shared" si="62"/>
        <v>1499256.9363918218</v>
      </c>
      <c r="H1017" s="795">
        <f t="shared" si="63"/>
        <v>1499256.9363918218</v>
      </c>
      <c r="I1017" s="792">
        <f t="shared" si="64"/>
        <v>0</v>
      </c>
      <c r="J1017" s="792"/>
      <c r="K1017" s="812"/>
      <c r="L1017" s="796"/>
      <c r="M1017" s="812"/>
      <c r="N1017" s="796"/>
      <c r="O1017" s="796"/>
    </row>
    <row r="1018" spans="3:15">
      <c r="C1018" s="788">
        <f>IF(D995="","-",+C1017+1)</f>
        <v>2030</v>
      </c>
      <c r="D1018" s="736">
        <f t="shared" si="60"/>
        <v>7461285.8857142925</v>
      </c>
      <c r="E1018" s="789">
        <f t="shared" si="65"/>
        <v>392699.25714285712</v>
      </c>
      <c r="F1018" s="736">
        <f t="shared" si="61"/>
        <v>7068586.6285714358</v>
      </c>
      <c r="G1018" s="794">
        <f t="shared" si="62"/>
        <v>1442510.3887380287</v>
      </c>
      <c r="H1018" s="795">
        <f t="shared" si="63"/>
        <v>1442510.3887380287</v>
      </c>
      <c r="I1018" s="792">
        <f t="shared" si="64"/>
        <v>0</v>
      </c>
      <c r="J1018" s="792"/>
      <c r="K1018" s="812"/>
      <c r="L1018" s="796"/>
      <c r="M1018" s="812"/>
      <c r="N1018" s="796"/>
      <c r="O1018" s="796"/>
    </row>
    <row r="1019" spans="3:15">
      <c r="C1019" s="788">
        <f>IF(D995="","-",+C1018+1)</f>
        <v>2031</v>
      </c>
      <c r="D1019" s="736">
        <f t="shared" si="60"/>
        <v>7068586.6285714358</v>
      </c>
      <c r="E1019" s="789">
        <f t="shared" si="65"/>
        <v>392699.25714285712</v>
      </c>
      <c r="F1019" s="736">
        <f t="shared" si="61"/>
        <v>6675887.3714285791</v>
      </c>
      <c r="G1019" s="794">
        <f t="shared" si="62"/>
        <v>1385763.8410842358</v>
      </c>
      <c r="H1019" s="795">
        <f t="shared" si="63"/>
        <v>1385763.8410842358</v>
      </c>
      <c r="I1019" s="792">
        <f t="shared" si="64"/>
        <v>0</v>
      </c>
      <c r="J1019" s="792"/>
      <c r="K1019" s="812"/>
      <c r="L1019" s="796"/>
      <c r="M1019" s="812"/>
      <c r="N1019" s="796"/>
      <c r="O1019" s="796"/>
    </row>
    <row r="1020" spans="3:15">
      <c r="C1020" s="788">
        <f>IF(D995="","-",+C1019+1)</f>
        <v>2032</v>
      </c>
      <c r="D1020" s="736">
        <f t="shared" si="60"/>
        <v>6675887.3714285791</v>
      </c>
      <c r="E1020" s="789">
        <f t="shared" si="65"/>
        <v>392699.25714285712</v>
      </c>
      <c r="F1020" s="736">
        <f t="shared" si="61"/>
        <v>6283188.1142857224</v>
      </c>
      <c r="G1020" s="794">
        <f t="shared" si="62"/>
        <v>1329017.2934304429</v>
      </c>
      <c r="H1020" s="795">
        <f t="shared" si="63"/>
        <v>1329017.2934304429</v>
      </c>
      <c r="I1020" s="792">
        <f t="shared" si="64"/>
        <v>0</v>
      </c>
      <c r="J1020" s="792"/>
      <c r="K1020" s="812"/>
      <c r="L1020" s="796"/>
      <c r="M1020" s="812"/>
      <c r="N1020" s="796"/>
      <c r="O1020" s="796"/>
    </row>
    <row r="1021" spans="3:15">
      <c r="C1021" s="788">
        <f>IF(D995="","-",+C1020+1)</f>
        <v>2033</v>
      </c>
      <c r="D1021" s="736">
        <f t="shared" si="60"/>
        <v>6283188.1142857224</v>
      </c>
      <c r="E1021" s="789">
        <f t="shared" si="65"/>
        <v>392699.25714285712</v>
      </c>
      <c r="F1021" s="736">
        <f t="shared" si="61"/>
        <v>5890488.8571428657</v>
      </c>
      <c r="G1021" s="794">
        <f t="shared" si="62"/>
        <v>1272270.74577665</v>
      </c>
      <c r="H1021" s="795">
        <f t="shared" si="63"/>
        <v>1272270.74577665</v>
      </c>
      <c r="I1021" s="792">
        <f t="shared" si="64"/>
        <v>0</v>
      </c>
      <c r="J1021" s="792"/>
      <c r="K1021" s="812"/>
      <c r="L1021" s="796"/>
      <c r="M1021" s="812"/>
      <c r="N1021" s="796"/>
      <c r="O1021" s="796"/>
    </row>
    <row r="1022" spans="3:15">
      <c r="C1022" s="788">
        <f>IF(D995="","-",+C1021+1)</f>
        <v>2034</v>
      </c>
      <c r="D1022" s="736">
        <f t="shared" si="60"/>
        <v>5890488.8571428657</v>
      </c>
      <c r="E1022" s="789">
        <f t="shared" si="65"/>
        <v>392699.25714285712</v>
      </c>
      <c r="F1022" s="736">
        <f t="shared" si="61"/>
        <v>5497789.6000000089</v>
      </c>
      <c r="G1022" s="794">
        <f t="shared" si="62"/>
        <v>1215524.1981228569</v>
      </c>
      <c r="H1022" s="795">
        <f t="shared" si="63"/>
        <v>1215524.1981228569</v>
      </c>
      <c r="I1022" s="792">
        <f t="shared" si="64"/>
        <v>0</v>
      </c>
      <c r="J1022" s="792"/>
      <c r="K1022" s="812"/>
      <c r="L1022" s="796"/>
      <c r="M1022" s="812"/>
      <c r="N1022" s="796"/>
      <c r="O1022" s="796"/>
    </row>
    <row r="1023" spans="3:15">
      <c r="C1023" s="788">
        <f>IF(D995="","-",+C1022+1)</f>
        <v>2035</v>
      </c>
      <c r="D1023" s="736">
        <f t="shared" si="60"/>
        <v>5497789.6000000089</v>
      </c>
      <c r="E1023" s="789">
        <f t="shared" si="65"/>
        <v>392699.25714285712</v>
      </c>
      <c r="F1023" s="736">
        <f t="shared" si="61"/>
        <v>5105090.3428571522</v>
      </c>
      <c r="G1023" s="794">
        <f t="shared" si="62"/>
        <v>1158777.650469064</v>
      </c>
      <c r="H1023" s="795">
        <f t="shared" si="63"/>
        <v>1158777.650469064</v>
      </c>
      <c r="I1023" s="792">
        <f t="shared" si="64"/>
        <v>0</v>
      </c>
      <c r="J1023" s="792"/>
      <c r="K1023" s="812"/>
      <c r="L1023" s="796"/>
      <c r="M1023" s="812"/>
      <c r="N1023" s="796"/>
      <c r="O1023" s="796"/>
    </row>
    <row r="1024" spans="3:15">
      <c r="C1024" s="788">
        <f>IF(D995="","-",+C1023+1)</f>
        <v>2036</v>
      </c>
      <c r="D1024" s="736">
        <f t="shared" si="60"/>
        <v>5105090.3428571522</v>
      </c>
      <c r="E1024" s="789">
        <f t="shared" si="65"/>
        <v>392699.25714285712</v>
      </c>
      <c r="F1024" s="736">
        <f t="shared" si="61"/>
        <v>4712391.0857142955</v>
      </c>
      <c r="G1024" s="794">
        <f t="shared" si="62"/>
        <v>1102031.1028152711</v>
      </c>
      <c r="H1024" s="795">
        <f t="shared" si="63"/>
        <v>1102031.1028152711</v>
      </c>
      <c r="I1024" s="792">
        <f t="shared" si="64"/>
        <v>0</v>
      </c>
      <c r="J1024" s="792"/>
      <c r="K1024" s="812"/>
      <c r="L1024" s="796"/>
      <c r="M1024" s="812"/>
      <c r="N1024" s="796"/>
      <c r="O1024" s="796"/>
    </row>
    <row r="1025" spans="3:15">
      <c r="C1025" s="788">
        <f>IF(D995="","-",+C1024+1)</f>
        <v>2037</v>
      </c>
      <c r="D1025" s="736">
        <f t="shared" si="60"/>
        <v>4712391.0857142955</v>
      </c>
      <c r="E1025" s="789">
        <f t="shared" si="65"/>
        <v>392699.25714285712</v>
      </c>
      <c r="F1025" s="736">
        <f t="shared" si="61"/>
        <v>4319691.8285714388</v>
      </c>
      <c r="G1025" s="794">
        <f t="shared" si="62"/>
        <v>1045284.5551614782</v>
      </c>
      <c r="H1025" s="795">
        <f t="shared" si="63"/>
        <v>1045284.5551614782</v>
      </c>
      <c r="I1025" s="792">
        <f t="shared" si="64"/>
        <v>0</v>
      </c>
      <c r="J1025" s="792"/>
      <c r="K1025" s="812"/>
      <c r="L1025" s="796"/>
      <c r="M1025" s="812"/>
      <c r="N1025" s="796"/>
      <c r="O1025" s="796"/>
    </row>
    <row r="1026" spans="3:15">
      <c r="C1026" s="788">
        <f>IF(D995="","-",+C1025+1)</f>
        <v>2038</v>
      </c>
      <c r="D1026" s="736">
        <f t="shared" si="60"/>
        <v>4319691.8285714388</v>
      </c>
      <c r="E1026" s="789">
        <f t="shared" si="65"/>
        <v>392699.25714285712</v>
      </c>
      <c r="F1026" s="736">
        <f t="shared" si="61"/>
        <v>3926992.5714285816</v>
      </c>
      <c r="G1026" s="794">
        <f t="shared" si="62"/>
        <v>988538.00750768511</v>
      </c>
      <c r="H1026" s="795">
        <f t="shared" si="63"/>
        <v>988538.00750768511</v>
      </c>
      <c r="I1026" s="792">
        <f t="shared" si="64"/>
        <v>0</v>
      </c>
      <c r="J1026" s="792"/>
      <c r="K1026" s="812"/>
      <c r="L1026" s="796"/>
      <c r="M1026" s="812"/>
      <c r="N1026" s="796"/>
      <c r="O1026" s="796"/>
    </row>
    <row r="1027" spans="3:15">
      <c r="C1027" s="788">
        <f>IF(D995="","-",+C1026+1)</f>
        <v>2039</v>
      </c>
      <c r="D1027" s="736">
        <f t="shared" si="60"/>
        <v>3926992.5714285816</v>
      </c>
      <c r="E1027" s="789">
        <f t="shared" si="65"/>
        <v>392699.25714285712</v>
      </c>
      <c r="F1027" s="736">
        <f t="shared" si="61"/>
        <v>3534293.3142857244</v>
      </c>
      <c r="G1027" s="794">
        <f t="shared" si="62"/>
        <v>931791.45985389221</v>
      </c>
      <c r="H1027" s="795">
        <f t="shared" si="63"/>
        <v>931791.45985389221</v>
      </c>
      <c r="I1027" s="792">
        <f t="shared" si="64"/>
        <v>0</v>
      </c>
      <c r="J1027" s="792"/>
      <c r="K1027" s="812"/>
      <c r="L1027" s="796"/>
      <c r="M1027" s="812"/>
      <c r="N1027" s="796"/>
      <c r="O1027" s="796"/>
    </row>
    <row r="1028" spans="3:15">
      <c r="C1028" s="788">
        <f>IF(D995="","-",+C1027+1)</f>
        <v>2040</v>
      </c>
      <c r="D1028" s="736">
        <f t="shared" si="60"/>
        <v>3534293.3142857244</v>
      </c>
      <c r="E1028" s="789">
        <f t="shared" si="65"/>
        <v>392699.25714285712</v>
      </c>
      <c r="F1028" s="736">
        <f t="shared" si="61"/>
        <v>3141594.0571428672</v>
      </c>
      <c r="G1028" s="794">
        <f t="shared" si="62"/>
        <v>875044.91220009909</v>
      </c>
      <c r="H1028" s="795">
        <f t="shared" si="63"/>
        <v>875044.91220009909</v>
      </c>
      <c r="I1028" s="792">
        <f t="shared" si="64"/>
        <v>0</v>
      </c>
      <c r="J1028" s="792"/>
      <c r="K1028" s="812"/>
      <c r="L1028" s="796"/>
      <c r="M1028" s="812"/>
      <c r="N1028" s="796"/>
      <c r="O1028" s="796"/>
    </row>
    <row r="1029" spans="3:15">
      <c r="C1029" s="788">
        <f>IF(D995="","-",+C1028+1)</f>
        <v>2041</v>
      </c>
      <c r="D1029" s="736">
        <f t="shared" si="60"/>
        <v>3141594.0571428672</v>
      </c>
      <c r="E1029" s="789">
        <f t="shared" si="65"/>
        <v>392699.25714285712</v>
      </c>
      <c r="F1029" s="736">
        <f t="shared" si="61"/>
        <v>2748894.8000000101</v>
      </c>
      <c r="G1029" s="790">
        <f t="shared" si="62"/>
        <v>818298.36454630608</v>
      </c>
      <c r="H1029" s="795">
        <f t="shared" si="63"/>
        <v>818298.36454630608</v>
      </c>
      <c r="I1029" s="792">
        <f t="shared" si="64"/>
        <v>0</v>
      </c>
      <c r="J1029" s="792"/>
      <c r="K1029" s="812"/>
      <c r="L1029" s="796"/>
      <c r="M1029" s="812"/>
      <c r="N1029" s="796"/>
      <c r="O1029" s="796"/>
    </row>
    <row r="1030" spans="3:15">
      <c r="C1030" s="788">
        <f>IF(D995="","-",+C1029+1)</f>
        <v>2042</v>
      </c>
      <c r="D1030" s="736">
        <f t="shared" si="60"/>
        <v>2748894.8000000101</v>
      </c>
      <c r="E1030" s="789">
        <f t="shared" si="65"/>
        <v>392699.25714285712</v>
      </c>
      <c r="F1030" s="736">
        <f t="shared" si="61"/>
        <v>2356195.5428571529</v>
      </c>
      <c r="G1030" s="794">
        <f t="shared" si="62"/>
        <v>761551.81689251307</v>
      </c>
      <c r="H1030" s="795">
        <f t="shared" si="63"/>
        <v>761551.81689251307</v>
      </c>
      <c r="I1030" s="792">
        <f t="shared" si="64"/>
        <v>0</v>
      </c>
      <c r="J1030" s="792"/>
      <c r="K1030" s="812"/>
      <c r="L1030" s="796"/>
      <c r="M1030" s="812"/>
      <c r="N1030" s="796"/>
      <c r="O1030" s="796"/>
    </row>
    <row r="1031" spans="3:15">
      <c r="C1031" s="788">
        <f>IF(D995="","-",+C1030+1)</f>
        <v>2043</v>
      </c>
      <c r="D1031" s="736">
        <f t="shared" si="60"/>
        <v>2356195.5428571529</v>
      </c>
      <c r="E1031" s="789">
        <f t="shared" si="65"/>
        <v>392699.25714285712</v>
      </c>
      <c r="F1031" s="736">
        <f t="shared" si="61"/>
        <v>1963496.2857142957</v>
      </c>
      <c r="G1031" s="794">
        <f t="shared" si="62"/>
        <v>704805.26923872007</v>
      </c>
      <c r="H1031" s="795">
        <f t="shared" si="63"/>
        <v>704805.26923872007</v>
      </c>
      <c r="I1031" s="792">
        <f t="shared" si="64"/>
        <v>0</v>
      </c>
      <c r="J1031" s="792"/>
      <c r="K1031" s="812"/>
      <c r="L1031" s="796"/>
      <c r="M1031" s="812"/>
      <c r="N1031" s="796"/>
      <c r="O1031" s="796"/>
    </row>
    <row r="1032" spans="3:15">
      <c r="C1032" s="788">
        <f>IF(D995="","-",+C1031+1)</f>
        <v>2044</v>
      </c>
      <c r="D1032" s="736">
        <f t="shared" si="60"/>
        <v>1963496.2857142957</v>
      </c>
      <c r="E1032" s="789">
        <f t="shared" si="65"/>
        <v>392699.25714285712</v>
      </c>
      <c r="F1032" s="736">
        <f t="shared" si="61"/>
        <v>1570797.0285714385</v>
      </c>
      <c r="G1032" s="794">
        <f t="shared" si="62"/>
        <v>648058.72158492706</v>
      </c>
      <c r="H1032" s="795">
        <f t="shared" si="63"/>
        <v>648058.72158492706</v>
      </c>
      <c r="I1032" s="792">
        <f t="shared" si="64"/>
        <v>0</v>
      </c>
      <c r="J1032" s="792"/>
      <c r="K1032" s="812"/>
      <c r="L1032" s="796"/>
      <c r="M1032" s="812"/>
      <c r="N1032" s="796"/>
      <c r="O1032" s="796"/>
    </row>
    <row r="1033" spans="3:15">
      <c r="C1033" s="788">
        <f>IF(D995="","-",+C1032+1)</f>
        <v>2045</v>
      </c>
      <c r="D1033" s="736">
        <f t="shared" si="60"/>
        <v>1570797.0285714385</v>
      </c>
      <c r="E1033" s="789">
        <f t="shared" si="65"/>
        <v>392699.25714285712</v>
      </c>
      <c r="F1033" s="736">
        <f t="shared" si="61"/>
        <v>1178097.7714285813</v>
      </c>
      <c r="G1033" s="794">
        <f t="shared" si="62"/>
        <v>591312.17393113405</v>
      </c>
      <c r="H1033" s="795">
        <f t="shared" si="63"/>
        <v>591312.17393113405</v>
      </c>
      <c r="I1033" s="792">
        <f t="shared" si="64"/>
        <v>0</v>
      </c>
      <c r="J1033" s="792"/>
      <c r="K1033" s="812"/>
      <c r="L1033" s="796"/>
      <c r="M1033" s="812"/>
      <c r="N1033" s="796"/>
      <c r="O1033" s="796"/>
    </row>
    <row r="1034" spans="3:15">
      <c r="C1034" s="788">
        <f>IF(D995="","-",+C1033+1)</f>
        <v>2046</v>
      </c>
      <c r="D1034" s="736">
        <f t="shared" si="60"/>
        <v>1178097.7714285813</v>
      </c>
      <c r="E1034" s="789">
        <f t="shared" si="65"/>
        <v>392699.25714285712</v>
      </c>
      <c r="F1034" s="736">
        <f t="shared" si="61"/>
        <v>785398.51428572414</v>
      </c>
      <c r="G1034" s="794">
        <f t="shared" si="62"/>
        <v>534565.62627734104</v>
      </c>
      <c r="H1034" s="795">
        <f t="shared" si="63"/>
        <v>534565.62627734104</v>
      </c>
      <c r="I1034" s="792">
        <f t="shared" si="64"/>
        <v>0</v>
      </c>
      <c r="J1034" s="792"/>
      <c r="K1034" s="812"/>
      <c r="L1034" s="796"/>
      <c r="M1034" s="812"/>
      <c r="N1034" s="796"/>
      <c r="O1034" s="796"/>
    </row>
    <row r="1035" spans="3:15">
      <c r="C1035" s="788">
        <f>IF(D995="","-",+C1034+1)</f>
        <v>2047</v>
      </c>
      <c r="D1035" s="736">
        <f t="shared" si="60"/>
        <v>785398.51428572414</v>
      </c>
      <c r="E1035" s="789">
        <f t="shared" si="65"/>
        <v>392699.25714285712</v>
      </c>
      <c r="F1035" s="736">
        <f t="shared" si="61"/>
        <v>392699.25714286702</v>
      </c>
      <c r="G1035" s="794">
        <f t="shared" si="62"/>
        <v>477819.07862354803</v>
      </c>
      <c r="H1035" s="795">
        <f t="shared" si="63"/>
        <v>477819.07862354803</v>
      </c>
      <c r="I1035" s="792">
        <f t="shared" si="64"/>
        <v>0</v>
      </c>
      <c r="J1035" s="792"/>
      <c r="K1035" s="812"/>
      <c r="L1035" s="796"/>
      <c r="M1035" s="812"/>
      <c r="N1035" s="796"/>
      <c r="O1035" s="796"/>
    </row>
    <row r="1036" spans="3:15">
      <c r="C1036" s="788">
        <f>IF(D995="","-",+C1035+1)</f>
        <v>2048</v>
      </c>
      <c r="D1036" s="736">
        <f t="shared" si="60"/>
        <v>392699.25714286702</v>
      </c>
      <c r="E1036" s="789">
        <f t="shared" si="65"/>
        <v>392699.25714285712</v>
      </c>
      <c r="F1036" s="736">
        <f t="shared" si="61"/>
        <v>9.8953023552894592E-9</v>
      </c>
      <c r="G1036" s="794">
        <f t="shared" si="62"/>
        <v>421072.53096975503</v>
      </c>
      <c r="H1036" s="795">
        <f t="shared" si="63"/>
        <v>421072.53096975503</v>
      </c>
      <c r="I1036" s="792">
        <f t="shared" si="64"/>
        <v>0</v>
      </c>
      <c r="J1036" s="792"/>
      <c r="K1036" s="812"/>
      <c r="L1036" s="796"/>
      <c r="M1036" s="812"/>
      <c r="N1036" s="796"/>
      <c r="O1036" s="796"/>
    </row>
    <row r="1037" spans="3:15">
      <c r="C1037" s="788">
        <f>IF(D995="","-",+C1036+1)</f>
        <v>2049</v>
      </c>
      <c r="D1037" s="736">
        <f t="shared" si="60"/>
        <v>9.8953023552894592E-9</v>
      </c>
      <c r="E1037" s="789">
        <f t="shared" si="65"/>
        <v>9.8953023552894592E-9</v>
      </c>
      <c r="F1037" s="736">
        <f t="shared" si="61"/>
        <v>0</v>
      </c>
      <c r="G1037" s="794">
        <f t="shared" si="62"/>
        <v>1.0610256912039296E-8</v>
      </c>
      <c r="H1037" s="795">
        <f t="shared" si="63"/>
        <v>1.0610256912039296E-8</v>
      </c>
      <c r="I1037" s="792">
        <f t="shared" si="64"/>
        <v>0</v>
      </c>
      <c r="J1037" s="792"/>
      <c r="K1037" s="812"/>
      <c r="L1037" s="796"/>
      <c r="M1037" s="812"/>
      <c r="N1037" s="796"/>
      <c r="O1037" s="796"/>
    </row>
    <row r="1038" spans="3:15">
      <c r="C1038" s="788">
        <f>IF(D995="","-",+C1037+1)</f>
        <v>2050</v>
      </c>
      <c r="D1038" s="736">
        <f t="shared" si="60"/>
        <v>0</v>
      </c>
      <c r="E1038" s="789">
        <f t="shared" si="65"/>
        <v>0</v>
      </c>
      <c r="F1038" s="736">
        <f t="shared" si="61"/>
        <v>0</v>
      </c>
      <c r="G1038" s="794">
        <f t="shared" si="62"/>
        <v>0</v>
      </c>
      <c r="H1038" s="795">
        <f t="shared" si="63"/>
        <v>0</v>
      </c>
      <c r="I1038" s="792">
        <f t="shared" si="64"/>
        <v>0</v>
      </c>
      <c r="J1038" s="792"/>
      <c r="K1038" s="812"/>
      <c r="L1038" s="796"/>
      <c r="M1038" s="812"/>
      <c r="N1038" s="796"/>
      <c r="O1038" s="796"/>
    </row>
    <row r="1039" spans="3:15">
      <c r="C1039" s="788">
        <f>IF(D995="","-",+C1038+1)</f>
        <v>2051</v>
      </c>
      <c r="D1039" s="736">
        <f t="shared" si="60"/>
        <v>0</v>
      </c>
      <c r="E1039" s="789">
        <f t="shared" si="65"/>
        <v>0</v>
      </c>
      <c r="F1039" s="736">
        <f t="shared" si="61"/>
        <v>0</v>
      </c>
      <c r="G1039" s="794">
        <f t="shared" si="62"/>
        <v>0</v>
      </c>
      <c r="H1039" s="795">
        <f t="shared" si="63"/>
        <v>0</v>
      </c>
      <c r="I1039" s="792">
        <f t="shared" si="64"/>
        <v>0</v>
      </c>
      <c r="J1039" s="792"/>
      <c r="K1039" s="812"/>
      <c r="L1039" s="796"/>
      <c r="M1039" s="812"/>
      <c r="N1039" s="796"/>
      <c r="O1039" s="796"/>
    </row>
    <row r="1040" spans="3:15">
      <c r="C1040" s="788">
        <f>IF(D995="","-",+C1039+1)</f>
        <v>2052</v>
      </c>
      <c r="D1040" s="736">
        <f t="shared" si="60"/>
        <v>0</v>
      </c>
      <c r="E1040" s="789">
        <f t="shared" si="65"/>
        <v>0</v>
      </c>
      <c r="F1040" s="736">
        <f t="shared" si="61"/>
        <v>0</v>
      </c>
      <c r="G1040" s="794">
        <f t="shared" si="62"/>
        <v>0</v>
      </c>
      <c r="H1040" s="795">
        <f t="shared" si="63"/>
        <v>0</v>
      </c>
      <c r="I1040" s="792">
        <f t="shared" si="64"/>
        <v>0</v>
      </c>
      <c r="J1040" s="792"/>
      <c r="K1040" s="812"/>
      <c r="L1040" s="796"/>
      <c r="M1040" s="812"/>
      <c r="N1040" s="796"/>
      <c r="O1040" s="796"/>
    </row>
    <row r="1041" spans="3:15">
      <c r="C1041" s="788">
        <f>IF(D995="","-",+C1040+1)</f>
        <v>2053</v>
      </c>
      <c r="D1041" s="736">
        <f t="shared" si="60"/>
        <v>0</v>
      </c>
      <c r="E1041" s="789">
        <f t="shared" si="65"/>
        <v>0</v>
      </c>
      <c r="F1041" s="736">
        <f t="shared" si="61"/>
        <v>0</v>
      </c>
      <c r="G1041" s="794">
        <f t="shared" si="62"/>
        <v>0</v>
      </c>
      <c r="H1041" s="795">
        <f t="shared" si="63"/>
        <v>0</v>
      </c>
      <c r="I1041" s="792">
        <f t="shared" si="64"/>
        <v>0</v>
      </c>
      <c r="J1041" s="792"/>
      <c r="K1041" s="812"/>
      <c r="L1041" s="796"/>
      <c r="M1041" s="812"/>
      <c r="N1041" s="796"/>
      <c r="O1041" s="796"/>
    </row>
    <row r="1042" spans="3:15">
      <c r="C1042" s="788">
        <f>IF(D995="","-",+C1041+1)</f>
        <v>2054</v>
      </c>
      <c r="D1042" s="736">
        <f t="shared" si="60"/>
        <v>0</v>
      </c>
      <c r="E1042" s="789">
        <f t="shared" si="65"/>
        <v>0</v>
      </c>
      <c r="F1042" s="736">
        <f t="shared" si="61"/>
        <v>0</v>
      </c>
      <c r="G1042" s="794">
        <f t="shared" si="62"/>
        <v>0</v>
      </c>
      <c r="H1042" s="795">
        <f t="shared" si="63"/>
        <v>0</v>
      </c>
      <c r="I1042" s="792">
        <f t="shared" si="64"/>
        <v>0</v>
      </c>
      <c r="J1042" s="792"/>
      <c r="K1042" s="812"/>
      <c r="L1042" s="796"/>
      <c r="M1042" s="812"/>
      <c r="N1042" s="796"/>
      <c r="O1042" s="796"/>
    </row>
    <row r="1043" spans="3:15">
      <c r="C1043" s="788">
        <f>IF(D995="","-",+C1042+1)</f>
        <v>2055</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2056</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2057</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2058</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2059</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2060</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2061</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2062</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2063</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2064</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2065</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2066</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2067</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2068</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1:16">
      <c r="C1057" s="788">
        <f>IF(D995="","-",+C1056+1)</f>
        <v>2069</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1:16">
      <c r="C1058" s="788">
        <f>IF(D995="","-",+C1057+1)</f>
        <v>2070</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1:16">
      <c r="C1059" s="788">
        <f>IF(D995="","-",+C1058+1)</f>
        <v>2071</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1:16" ht="13.5" thickBot="1">
      <c r="C1060" s="798">
        <f>IF(D995="","-",+C1059+1)</f>
        <v>2072</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1:16">
      <c r="C1061" s="736" t="s">
        <v>83</v>
      </c>
      <c r="D1061" s="730"/>
      <c r="E1061" s="730">
        <f>SUM(E1001:E1060)</f>
        <v>13744474</v>
      </c>
      <c r="F1061" s="730"/>
      <c r="G1061" s="730">
        <f>SUM(G1001:G1060)</f>
        <v>50487863.605831005</v>
      </c>
      <c r="H1061" s="730">
        <f>SUM(H1001:H1060)</f>
        <v>50487863.605831005</v>
      </c>
      <c r="I1061" s="730">
        <f>SUM(I1001:I1060)</f>
        <v>0</v>
      </c>
      <c r="J1061" s="730"/>
      <c r="K1061" s="730"/>
      <c r="L1061" s="730"/>
      <c r="M1061" s="730"/>
      <c r="N1061" s="730"/>
      <c r="O1061" s="313"/>
    </row>
    <row r="1062" spans="1:16">
      <c r="D1062" s="538"/>
      <c r="E1062" s="313"/>
      <c r="F1062" s="313"/>
      <c r="G1062" s="313"/>
      <c r="H1062" s="708"/>
      <c r="I1062" s="708"/>
      <c r="J1062" s="730"/>
      <c r="K1062" s="708"/>
      <c r="L1062" s="708"/>
      <c r="M1062" s="708"/>
      <c r="N1062" s="708"/>
      <c r="O1062" s="313"/>
    </row>
    <row r="1063" spans="1:16">
      <c r="C1063" s="313" t="s">
        <v>13</v>
      </c>
      <c r="D1063" s="538"/>
      <c r="E1063" s="313"/>
      <c r="F1063" s="313"/>
      <c r="G1063" s="313"/>
      <c r="H1063" s="708"/>
      <c r="I1063" s="708"/>
      <c r="J1063" s="730"/>
      <c r="K1063" s="708"/>
      <c r="L1063" s="708"/>
      <c r="M1063" s="708"/>
      <c r="N1063" s="708"/>
      <c r="O1063" s="313"/>
    </row>
    <row r="1064" spans="1:16">
      <c r="C1064" s="313"/>
      <c r="D1064" s="538"/>
      <c r="E1064" s="313"/>
      <c r="F1064" s="313"/>
      <c r="G1064" s="313"/>
      <c r="H1064" s="708"/>
      <c r="I1064" s="708"/>
      <c r="J1064" s="730"/>
      <c r="K1064" s="708"/>
      <c r="L1064" s="708"/>
      <c r="M1064" s="708"/>
      <c r="N1064" s="708"/>
      <c r="O1064" s="313"/>
    </row>
    <row r="1065" spans="1:16">
      <c r="C1065" s="749" t="s">
        <v>14</v>
      </c>
      <c r="D1065" s="736"/>
      <c r="E1065" s="736"/>
      <c r="F1065" s="736"/>
      <c r="G1065" s="730"/>
      <c r="H1065" s="730"/>
      <c r="I1065" s="804"/>
      <c r="J1065" s="804"/>
      <c r="K1065" s="804"/>
      <c r="L1065" s="804"/>
      <c r="M1065" s="804"/>
      <c r="N1065" s="804"/>
      <c r="O1065" s="313"/>
    </row>
    <row r="1066" spans="1:16">
      <c r="C1066" s="735" t="s">
        <v>263</v>
      </c>
      <c r="D1066" s="736"/>
      <c r="E1066" s="736"/>
      <c r="F1066" s="736"/>
      <c r="G1066" s="730"/>
      <c r="H1066" s="730"/>
      <c r="I1066" s="804"/>
      <c r="J1066" s="804"/>
      <c r="K1066" s="804"/>
      <c r="L1066" s="804"/>
      <c r="M1066" s="804"/>
      <c r="N1066" s="804"/>
      <c r="O1066" s="313"/>
    </row>
    <row r="1067" spans="1:16">
      <c r="C1067" s="735" t="s">
        <v>84</v>
      </c>
      <c r="D1067" s="736"/>
      <c r="E1067" s="736"/>
      <c r="F1067" s="736"/>
      <c r="G1067" s="730"/>
      <c r="H1067" s="730"/>
      <c r="I1067" s="804"/>
      <c r="J1067" s="804"/>
      <c r="K1067" s="804"/>
      <c r="L1067" s="804"/>
      <c r="M1067" s="804"/>
      <c r="N1067" s="804"/>
      <c r="O1067" s="313"/>
    </row>
    <row r="1068" spans="1:16">
      <c r="C1068" s="735"/>
      <c r="D1068" s="736"/>
      <c r="E1068" s="736"/>
      <c r="F1068" s="736"/>
      <c r="G1068" s="730"/>
      <c r="H1068" s="730"/>
      <c r="I1068" s="804"/>
      <c r="J1068" s="804"/>
      <c r="K1068" s="804"/>
      <c r="L1068" s="804"/>
      <c r="M1068" s="804"/>
      <c r="N1068" s="804"/>
      <c r="O1068" s="313"/>
    </row>
    <row r="1069" spans="1:16">
      <c r="C1069" s="1547" t="s">
        <v>6</v>
      </c>
      <c r="D1069" s="1547"/>
      <c r="E1069" s="1547"/>
      <c r="F1069" s="1547"/>
      <c r="G1069" s="1547"/>
      <c r="H1069" s="1547"/>
      <c r="I1069" s="1547"/>
      <c r="J1069" s="1547"/>
      <c r="K1069" s="1547"/>
      <c r="L1069" s="1547"/>
      <c r="M1069" s="1547"/>
      <c r="N1069" s="1547"/>
      <c r="O1069" s="1547"/>
    </row>
    <row r="1070" spans="1:16">
      <c r="C1070" s="1547"/>
      <c r="D1070" s="1547"/>
      <c r="E1070" s="1547"/>
      <c r="F1070" s="1547"/>
      <c r="G1070" s="1547"/>
      <c r="H1070" s="1547"/>
      <c r="I1070" s="1547"/>
      <c r="J1070" s="1547"/>
      <c r="K1070" s="1547"/>
      <c r="L1070" s="1547"/>
      <c r="M1070" s="1547"/>
      <c r="N1070" s="1547"/>
      <c r="O1070" s="1547"/>
    </row>
    <row r="1071" spans="1:16">
      <c r="C1071" s="735"/>
      <c r="D1071" s="736"/>
      <c r="E1071" s="736"/>
      <c r="F1071" s="736"/>
      <c r="G1071" s="730"/>
      <c r="H1071" s="730"/>
    </row>
    <row r="1072" spans="1:16" ht="20.25">
      <c r="A1072" s="737" t="str">
        <f>""&amp;A996&amp;" Worksheet J -  ATRR PROJECTED Calculation for PJM Projects Charged to Benefiting Zones"</f>
        <v xml:space="preserve"> Worksheet J -  ATRR PROJECTED Calculation for PJM Projects Charged to Benefiting Zones</v>
      </c>
      <c r="B1072" s="347"/>
      <c r="C1072" s="725"/>
      <c r="D1072" s="538"/>
      <c r="E1072" s="313"/>
      <c r="F1072" s="707"/>
      <c r="G1072" s="313"/>
      <c r="H1072" s="708"/>
      <c r="K1072" s="564"/>
      <c r="L1072" s="564"/>
      <c r="M1072" s="564"/>
      <c r="N1072" s="653" t="str">
        <f>"Page "&amp;SUM(P$8:P1072)&amp;" of "</f>
        <v xml:space="preserve">Page 13 of </v>
      </c>
      <c r="O1072" s="654">
        <f>COUNT(P$8:P$56653)</f>
        <v>23</v>
      </c>
      <c r="P1072" s="172">
        <v>1</v>
      </c>
    </row>
    <row r="1073" spans="2:15">
      <c r="B1073" s="347"/>
      <c r="C1073" s="313"/>
      <c r="D1073" s="538"/>
      <c r="E1073" s="313"/>
      <c r="F1073" s="313"/>
      <c r="G1073" s="313"/>
      <c r="H1073" s="708"/>
      <c r="I1073" s="313"/>
      <c r="J1073" s="426"/>
      <c r="K1073" s="313"/>
      <c r="L1073" s="313"/>
      <c r="M1073" s="313"/>
      <c r="N1073" s="313"/>
      <c r="O1073" s="313"/>
    </row>
    <row r="1074" spans="2:15" ht="18">
      <c r="B1074" s="657" t="s">
        <v>466</v>
      </c>
      <c r="C1074" s="739" t="s">
        <v>85</v>
      </c>
      <c r="D1074" s="538"/>
      <c r="E1074" s="313"/>
      <c r="F1074" s="313"/>
      <c r="G1074" s="313"/>
      <c r="H1074" s="708"/>
      <c r="I1074" s="708"/>
      <c r="J1074" s="730"/>
      <c r="K1074" s="708"/>
      <c r="L1074" s="708"/>
      <c r="M1074" s="708"/>
      <c r="N1074" s="708"/>
      <c r="O1074" s="313"/>
    </row>
    <row r="1075" spans="2:15" ht="18.75">
      <c r="B1075" s="657"/>
      <c r="C1075" s="656"/>
      <c r="D1075" s="538"/>
      <c r="E1075" s="313"/>
      <c r="F1075" s="313"/>
      <c r="G1075" s="313"/>
      <c r="H1075" s="708"/>
      <c r="I1075" s="708"/>
      <c r="J1075" s="730"/>
      <c r="K1075" s="708"/>
      <c r="L1075" s="708"/>
      <c r="M1075" s="708"/>
      <c r="N1075" s="708"/>
      <c r="O1075" s="313"/>
    </row>
    <row r="1076" spans="2:15" ht="18.75">
      <c r="B1076" s="657"/>
      <c r="C1076" s="656" t="s">
        <v>86</v>
      </c>
      <c r="D1076" s="538"/>
      <c r="E1076" s="313"/>
      <c r="F1076" s="313"/>
      <c r="G1076" s="313"/>
      <c r="H1076" s="708"/>
      <c r="I1076" s="708"/>
      <c r="J1076" s="730"/>
      <c r="K1076" s="708"/>
      <c r="L1076" s="708"/>
      <c r="M1076" s="708"/>
      <c r="N1076" s="708"/>
      <c r="O1076" s="313"/>
    </row>
    <row r="1077" spans="2:15" ht="15.75" thickBot="1">
      <c r="C1077" s="239"/>
      <c r="D1077" s="538"/>
      <c r="E1077" s="313"/>
      <c r="F1077" s="313"/>
      <c r="G1077" s="313"/>
      <c r="H1077" s="708"/>
      <c r="I1077" s="708"/>
      <c r="J1077" s="730"/>
      <c r="K1077" s="708"/>
      <c r="L1077" s="708"/>
      <c r="M1077" s="708"/>
      <c r="N1077" s="708"/>
      <c r="O1077" s="313"/>
    </row>
    <row r="1078" spans="2:15" ht="15.75">
      <c r="C1078" s="659" t="s">
        <v>87</v>
      </c>
      <c r="D1078" s="538"/>
      <c r="E1078" s="313"/>
      <c r="F1078" s="313"/>
      <c r="G1078" s="806"/>
      <c r="H1078" s="313" t="s">
        <v>66</v>
      </c>
      <c r="I1078" s="313"/>
      <c r="J1078" s="426"/>
      <c r="K1078" s="740" t="s">
        <v>91</v>
      </c>
      <c r="L1078" s="741"/>
      <c r="M1078" s="742"/>
      <c r="N1078" s="743">
        <f>IF(I1084=0,0,VLOOKUP(I1084,C1091:O1150,5))</f>
        <v>2905925.4234166099</v>
      </c>
      <c r="O1078" s="313"/>
    </row>
    <row r="1079" spans="2:15" ht="15.75">
      <c r="C1079" s="659"/>
      <c r="D1079" s="538"/>
      <c r="E1079" s="313"/>
      <c r="F1079" s="313"/>
      <c r="G1079" s="313"/>
      <c r="H1079" s="744"/>
      <c r="I1079" s="744"/>
      <c r="J1079" s="745"/>
      <c r="K1079" s="746" t="s">
        <v>92</v>
      </c>
      <c r="L1079" s="747"/>
      <c r="M1079" s="426"/>
      <c r="N1079" s="748">
        <f>IF(I1084=0,0,VLOOKUP(I1084,C1091:O1150,6))</f>
        <v>2905925.4234166099</v>
      </c>
      <c r="O1079" s="313"/>
    </row>
    <row r="1080" spans="2:15" ht="13.5" thickBot="1">
      <c r="C1080" s="749" t="s">
        <v>88</v>
      </c>
      <c r="D1080" s="1537" t="s">
        <v>821</v>
      </c>
      <c r="E1080" s="1537"/>
      <c r="F1080" s="1537"/>
      <c r="G1080" s="1537"/>
      <c r="H1080" s="1537"/>
      <c r="I1080" s="1537"/>
      <c r="J1080" s="730"/>
      <c r="K1080" s="750" t="s">
        <v>230</v>
      </c>
      <c r="L1080" s="751"/>
      <c r="M1080" s="751"/>
      <c r="N1080" s="752">
        <f>+N1079-N1078</f>
        <v>0</v>
      </c>
      <c r="O1080" s="313"/>
    </row>
    <row r="1081" spans="2:15">
      <c r="C1081" s="753"/>
      <c r="D1081" s="754"/>
      <c r="E1081" s="734"/>
      <c r="F1081" s="734"/>
      <c r="G1081" s="755"/>
      <c r="H1081" s="708"/>
      <c r="I1081" s="708"/>
      <c r="J1081" s="730"/>
      <c r="K1081" s="708"/>
      <c r="L1081" s="708"/>
      <c r="M1081" s="708"/>
      <c r="N1081" s="708"/>
      <c r="O1081" s="313"/>
    </row>
    <row r="1082" spans="2:15" ht="13.5" thickBot="1">
      <c r="C1082" s="756"/>
      <c r="D1082" s="757"/>
      <c r="E1082" s="755"/>
      <c r="F1082" s="755"/>
      <c r="G1082" s="755"/>
      <c r="H1082" s="755"/>
      <c r="I1082" s="755"/>
      <c r="J1082" s="758"/>
      <c r="K1082" s="755"/>
      <c r="L1082" s="755"/>
      <c r="M1082" s="755"/>
      <c r="N1082" s="755"/>
      <c r="O1082" s="347"/>
    </row>
    <row r="1083" spans="2:15" ht="13.5" thickBot="1">
      <c r="C1083" s="759" t="s">
        <v>89</v>
      </c>
      <c r="D1083" s="760"/>
      <c r="E1083" s="760"/>
      <c r="F1083" s="760"/>
      <c r="G1083" s="760"/>
      <c r="H1083" s="760"/>
      <c r="I1083" s="761"/>
      <c r="J1083" s="762"/>
      <c r="K1083" s="313"/>
      <c r="L1083" s="313"/>
      <c r="M1083" s="313"/>
      <c r="N1083" s="313"/>
      <c r="O1083" s="763"/>
    </row>
    <row r="1084" spans="2:15" ht="15">
      <c r="C1084" s="764" t="s">
        <v>67</v>
      </c>
      <c r="D1084" s="808">
        <v>21060258</v>
      </c>
      <c r="E1084" s="725" t="s">
        <v>68</v>
      </c>
      <c r="G1084" s="765"/>
      <c r="H1084" s="765"/>
      <c r="I1084" s="766">
        <f>$L$26</f>
        <v>2023</v>
      </c>
      <c r="J1084" s="554"/>
      <c r="K1084" s="1536" t="s">
        <v>239</v>
      </c>
      <c r="L1084" s="1536"/>
      <c r="M1084" s="1536"/>
      <c r="N1084" s="1536"/>
      <c r="O1084" s="1536"/>
    </row>
    <row r="1085" spans="2:15">
      <c r="C1085" s="764" t="s">
        <v>70</v>
      </c>
      <c r="D1085" s="809">
        <v>2014</v>
      </c>
      <c r="E1085" s="764" t="s">
        <v>71</v>
      </c>
      <c r="F1085" s="765"/>
      <c r="H1085" s="172"/>
      <c r="I1085" s="810">
        <f>IF(G1078="",0,$F$17)</f>
        <v>0</v>
      </c>
      <c r="J1085" s="767"/>
      <c r="K1085" s="730" t="s">
        <v>239</v>
      </c>
    </row>
    <row r="1086" spans="2:15">
      <c r="C1086" s="764" t="s">
        <v>72</v>
      </c>
      <c r="D1086" s="808">
        <v>12</v>
      </c>
      <c r="E1086" s="764" t="s">
        <v>73</v>
      </c>
      <c r="F1086" s="765"/>
      <c r="H1086" s="172"/>
      <c r="I1086" s="768">
        <f>$G$70</f>
        <v>0.14450383244078713</v>
      </c>
      <c r="J1086" s="769"/>
      <c r="K1086" s="172" t="str">
        <f>"          INPUT PROJECTED ARR (WITH &amp; WITHOUT INCENTIVES) FROM EACH PRIOR YEAR"</f>
        <v xml:space="preserve">          INPUT PROJECTED ARR (WITH &amp; WITHOUT INCENTIVES) FROM EACH PRIOR YEAR</v>
      </c>
    </row>
    <row r="1087" spans="2:15">
      <c r="C1087" s="764" t="s">
        <v>74</v>
      </c>
      <c r="D1087" s="770">
        <f>$G$79</f>
        <v>35</v>
      </c>
      <c r="E1087" s="764" t="s">
        <v>75</v>
      </c>
      <c r="F1087" s="765"/>
      <c r="H1087" s="172"/>
      <c r="I1087" s="768">
        <f>IF(G1078="",I1086,$G$69)</f>
        <v>0.14450383244078713</v>
      </c>
      <c r="J1087" s="771"/>
      <c r="K1087" s="172" t="s">
        <v>152</v>
      </c>
    </row>
    <row r="1088" spans="2:15" ht="13.5" thickBot="1">
      <c r="C1088" s="764" t="s">
        <v>76</v>
      </c>
      <c r="D1088" s="807" t="s">
        <v>808</v>
      </c>
      <c r="E1088" s="772" t="s">
        <v>77</v>
      </c>
      <c r="F1088" s="773"/>
      <c r="G1088" s="774"/>
      <c r="H1088" s="774"/>
      <c r="I1088" s="752">
        <f>IF(D1084=0,0,D1084/D1087)</f>
        <v>601721.65714285709</v>
      </c>
      <c r="J1088" s="730"/>
      <c r="K1088" s="730" t="s">
        <v>158</v>
      </c>
      <c r="L1088" s="730"/>
      <c r="M1088" s="730"/>
      <c r="N1088" s="730"/>
      <c r="O1088" s="426"/>
    </row>
    <row r="1089" spans="2:15" ht="38.25">
      <c r="B1089" s="845"/>
      <c r="C1089" s="775" t="s">
        <v>67</v>
      </c>
      <c r="D1089" s="776" t="s">
        <v>78</v>
      </c>
      <c r="E1089" s="777" t="s">
        <v>79</v>
      </c>
      <c r="F1089" s="776" t="s">
        <v>80</v>
      </c>
      <c r="G1089" s="777" t="s">
        <v>151</v>
      </c>
      <c r="H1089" s="778" t="s">
        <v>151</v>
      </c>
      <c r="I1089" s="775" t="s">
        <v>90</v>
      </c>
      <c r="J1089" s="779"/>
      <c r="K1089" s="777" t="s">
        <v>160</v>
      </c>
      <c r="L1089" s="780"/>
      <c r="M1089" s="777" t="s">
        <v>160</v>
      </c>
      <c r="N1089" s="780"/>
      <c r="O1089" s="780"/>
    </row>
    <row r="1090" spans="2:15" ht="13.5" thickBot="1">
      <c r="C1090" s="781" t="s">
        <v>469</v>
      </c>
      <c r="D1090" s="782" t="s">
        <v>470</v>
      </c>
      <c r="E1090" s="781" t="s">
        <v>363</v>
      </c>
      <c r="F1090" s="782" t="s">
        <v>470</v>
      </c>
      <c r="G1090" s="783" t="s">
        <v>93</v>
      </c>
      <c r="H1090" s="784" t="s">
        <v>95</v>
      </c>
      <c r="I1090" s="785" t="s">
        <v>15</v>
      </c>
      <c r="J1090" s="786"/>
      <c r="K1090" s="783" t="s">
        <v>82</v>
      </c>
      <c r="L1090" s="787"/>
      <c r="M1090" s="783" t="s">
        <v>95</v>
      </c>
      <c r="N1090" s="787"/>
      <c r="O1090" s="787"/>
    </row>
    <row r="1091" spans="2:15">
      <c r="C1091" s="788">
        <f>IF(D1085= "","-",D1085)</f>
        <v>2014</v>
      </c>
      <c r="D1091" s="736">
        <f>+D1084</f>
        <v>21060258</v>
      </c>
      <c r="E1091" s="789">
        <f>+I1088/12*(12-D1086)</f>
        <v>0</v>
      </c>
      <c r="F1091" s="736">
        <f>+D1091-E1091</f>
        <v>21060258</v>
      </c>
      <c r="G1091" s="985">
        <f>+$I$96*((D1091+F1091)/2)+E1091</f>
        <v>3043287.9931917465</v>
      </c>
      <c r="H1091" s="986">
        <f>$I$97*((D1091+F1091)/2)+E1091</f>
        <v>3043287.9931917465</v>
      </c>
      <c r="I1091" s="792">
        <f>+H1091-G1091</f>
        <v>0</v>
      </c>
      <c r="J1091" s="792"/>
      <c r="K1091" s="811">
        <v>2052447</v>
      </c>
      <c r="L1091" s="793"/>
      <c r="M1091" s="811">
        <v>2052447</v>
      </c>
      <c r="N1091" s="793"/>
      <c r="O1091" s="793"/>
    </row>
    <row r="1092" spans="2:15">
      <c r="C1092" s="788">
        <f>IF(D1085="","-",+C1091+1)</f>
        <v>2015</v>
      </c>
      <c r="D1092" s="736">
        <f t="shared" ref="D1092:D1150" si="66">F1091</f>
        <v>21060258</v>
      </c>
      <c r="E1092" s="789">
        <f>IF(D1092&gt;$I$1088,$I$1088,D1092)</f>
        <v>601721.65714285709</v>
      </c>
      <c r="F1092" s="736">
        <f t="shared" ref="F1092:F1150" si="67">+D1092-E1092</f>
        <v>20458536.342857145</v>
      </c>
      <c r="G1092" s="794">
        <f t="shared" ref="G1092:G1150" si="68">+$I$96*((D1092+F1092)/2)+E1092</f>
        <v>3601534.1075747218</v>
      </c>
      <c r="H1092" s="795">
        <f t="shared" ref="H1092:H1150" si="69">$I$97*((D1092+F1092)/2)+E1092</f>
        <v>3601534.1075747218</v>
      </c>
      <c r="I1092" s="792">
        <f t="shared" ref="I1092:I1150" si="70">+H1092-G1092</f>
        <v>0</v>
      </c>
      <c r="J1092" s="792"/>
      <c r="K1092" s="812">
        <v>2695147</v>
      </c>
      <c r="L1092" s="796"/>
      <c r="M1092" s="812">
        <v>2695147</v>
      </c>
      <c r="N1092" s="796"/>
      <c r="O1092" s="796"/>
    </row>
    <row r="1093" spans="2:15">
      <c r="C1093" s="788">
        <f>IF(D1085="","-",+C1092+1)</f>
        <v>2016</v>
      </c>
      <c r="D1093" s="736">
        <f t="shared" si="66"/>
        <v>20458536.342857145</v>
      </c>
      <c r="E1093" s="789">
        <f t="shared" ref="E1093:E1150" si="71">IF(D1093&gt;$I$1088,$I$1088,D1093)</f>
        <v>601721.65714285709</v>
      </c>
      <c r="F1093" s="736">
        <f t="shared" si="67"/>
        <v>19856814.68571429</v>
      </c>
      <c r="G1093" s="794">
        <f t="shared" si="68"/>
        <v>3514583.0220549577</v>
      </c>
      <c r="H1093" s="795">
        <f t="shared" si="69"/>
        <v>3514583.0220549577</v>
      </c>
      <c r="I1093" s="792">
        <f t="shared" si="70"/>
        <v>0</v>
      </c>
      <c r="J1093" s="792"/>
      <c r="K1093" s="812">
        <v>3014861</v>
      </c>
      <c r="L1093" s="796"/>
      <c r="M1093" s="812">
        <v>3014861</v>
      </c>
      <c r="N1093" s="796"/>
      <c r="O1093" s="796"/>
    </row>
    <row r="1094" spans="2:15">
      <c r="C1094" s="788">
        <f>IF(D1085="","-",+C1093+1)</f>
        <v>2017</v>
      </c>
      <c r="D1094" s="736">
        <f t="shared" si="66"/>
        <v>19856814.68571429</v>
      </c>
      <c r="E1094" s="789">
        <f t="shared" si="71"/>
        <v>601721.65714285709</v>
      </c>
      <c r="F1094" s="736">
        <f t="shared" si="67"/>
        <v>19255093.028571434</v>
      </c>
      <c r="G1094" s="794">
        <f t="shared" si="68"/>
        <v>3427631.9365351941</v>
      </c>
      <c r="H1094" s="795">
        <f t="shared" si="69"/>
        <v>3427631.9365351941</v>
      </c>
      <c r="I1094" s="792">
        <f t="shared" si="70"/>
        <v>0</v>
      </c>
      <c r="J1094" s="792"/>
      <c r="K1094" s="812">
        <v>3618083</v>
      </c>
      <c r="L1094" s="796"/>
      <c r="M1094" s="812">
        <v>3618083</v>
      </c>
      <c r="N1094" s="796"/>
      <c r="O1094" s="796"/>
    </row>
    <row r="1095" spans="2:15">
      <c r="C1095" s="1312">
        <f>IF(D1085="","-",+C1094+1)</f>
        <v>2018</v>
      </c>
      <c r="D1095" s="736">
        <f t="shared" si="66"/>
        <v>19255093.028571434</v>
      </c>
      <c r="E1095" s="789">
        <f t="shared" si="71"/>
        <v>601721.65714285709</v>
      </c>
      <c r="F1095" s="736">
        <f t="shared" si="67"/>
        <v>18653371.371428579</v>
      </c>
      <c r="G1095" s="794">
        <f t="shared" si="68"/>
        <v>3340680.8510154299</v>
      </c>
      <c r="H1095" s="795">
        <f t="shared" si="69"/>
        <v>3340680.8510154299</v>
      </c>
      <c r="I1095" s="792">
        <f t="shared" si="70"/>
        <v>0</v>
      </c>
      <c r="J1095" s="792"/>
      <c r="K1095" s="812">
        <v>3216698</v>
      </c>
      <c r="L1095" s="796"/>
      <c r="M1095" s="812">
        <v>3216698</v>
      </c>
      <c r="N1095" s="796"/>
      <c r="O1095" s="796"/>
    </row>
    <row r="1096" spans="2:15">
      <c r="C1096" s="1290">
        <f>IF(D1085="","-",+C1095+1)</f>
        <v>2019</v>
      </c>
      <c r="D1096" s="736">
        <f t="shared" si="66"/>
        <v>18653371.371428579</v>
      </c>
      <c r="E1096" s="789">
        <f t="shared" si="71"/>
        <v>601721.65714285709</v>
      </c>
      <c r="F1096" s="736">
        <f t="shared" si="67"/>
        <v>18051649.714285724</v>
      </c>
      <c r="G1096" s="794">
        <f t="shared" si="68"/>
        <v>3253729.7654956663</v>
      </c>
      <c r="H1096" s="795">
        <f t="shared" si="69"/>
        <v>3253729.7654956663</v>
      </c>
      <c r="I1096" s="792">
        <f t="shared" si="70"/>
        <v>0</v>
      </c>
      <c r="J1096" s="792"/>
      <c r="K1096" s="812"/>
      <c r="L1096" s="796"/>
      <c r="M1096" s="812"/>
      <c r="N1096" s="796"/>
      <c r="O1096" s="796"/>
    </row>
    <row r="1097" spans="2:15">
      <c r="C1097" s="788">
        <f>IF(D1085="","-",+C1096+1)</f>
        <v>2020</v>
      </c>
      <c r="D1097" s="736">
        <f t="shared" si="66"/>
        <v>18051649.714285724</v>
      </c>
      <c r="E1097" s="789">
        <f t="shared" si="71"/>
        <v>601721.65714285709</v>
      </c>
      <c r="F1097" s="736">
        <f t="shared" si="67"/>
        <v>17449928.057142869</v>
      </c>
      <c r="G1097" s="794">
        <f t="shared" si="68"/>
        <v>3166778.6799759022</v>
      </c>
      <c r="H1097" s="795">
        <f t="shared" si="69"/>
        <v>3166778.6799759022</v>
      </c>
      <c r="I1097" s="792">
        <f t="shared" si="70"/>
        <v>0</v>
      </c>
      <c r="J1097" s="792"/>
      <c r="K1097" s="812"/>
      <c r="L1097" s="796"/>
      <c r="M1097" s="812"/>
      <c r="N1097" s="796"/>
      <c r="O1097" s="796"/>
    </row>
    <row r="1098" spans="2:15">
      <c r="C1098" s="788">
        <f>IF(D1085="","-",+C1097+1)</f>
        <v>2021</v>
      </c>
      <c r="D1098" s="736">
        <f t="shared" si="66"/>
        <v>17449928.057142869</v>
      </c>
      <c r="E1098" s="789">
        <f t="shared" si="71"/>
        <v>601721.65714285709</v>
      </c>
      <c r="F1098" s="736">
        <f t="shared" si="67"/>
        <v>16848206.400000013</v>
      </c>
      <c r="G1098" s="794">
        <f t="shared" si="68"/>
        <v>3079827.5944561381</v>
      </c>
      <c r="H1098" s="795">
        <f t="shared" si="69"/>
        <v>3079827.5944561381</v>
      </c>
      <c r="I1098" s="792">
        <f t="shared" si="70"/>
        <v>0</v>
      </c>
      <c r="J1098" s="792"/>
      <c r="K1098" s="812"/>
      <c r="L1098" s="796"/>
      <c r="M1098" s="812"/>
      <c r="N1098" s="796"/>
      <c r="O1098" s="796"/>
    </row>
    <row r="1099" spans="2:15">
      <c r="C1099" s="788">
        <f>IF(D1085="","-",+C1098+1)</f>
        <v>2022</v>
      </c>
      <c r="D1099" s="736">
        <f t="shared" si="66"/>
        <v>16848206.400000013</v>
      </c>
      <c r="E1099" s="789">
        <f t="shared" si="71"/>
        <v>601721.65714285709</v>
      </c>
      <c r="F1099" s="736">
        <f t="shared" si="67"/>
        <v>16246484.742857156</v>
      </c>
      <c r="G1099" s="794">
        <f t="shared" si="68"/>
        <v>2992876.5089363744</v>
      </c>
      <c r="H1099" s="795">
        <f t="shared" si="69"/>
        <v>2992876.5089363744</v>
      </c>
      <c r="I1099" s="792">
        <f t="shared" si="70"/>
        <v>0</v>
      </c>
      <c r="J1099" s="792"/>
      <c r="K1099" s="812"/>
      <c r="L1099" s="796"/>
      <c r="M1099" s="812"/>
      <c r="N1099" s="796"/>
      <c r="O1099" s="796"/>
    </row>
    <row r="1100" spans="2:15">
      <c r="C1100" s="788">
        <f>IF(D1085="","-",+C1099+1)</f>
        <v>2023</v>
      </c>
      <c r="D1100" s="736">
        <f t="shared" si="66"/>
        <v>16246484.742857156</v>
      </c>
      <c r="E1100" s="789">
        <f t="shared" si="71"/>
        <v>601721.65714285709</v>
      </c>
      <c r="F1100" s="736">
        <f t="shared" si="67"/>
        <v>15644763.085714299</v>
      </c>
      <c r="G1100" s="794">
        <f t="shared" si="68"/>
        <v>2905925.4234166099</v>
      </c>
      <c r="H1100" s="795">
        <f t="shared" si="69"/>
        <v>2905925.4234166099</v>
      </c>
      <c r="I1100" s="792">
        <f t="shared" si="70"/>
        <v>0</v>
      </c>
      <c r="J1100" s="792"/>
      <c r="K1100" s="812"/>
      <c r="L1100" s="796"/>
      <c r="M1100" s="812"/>
      <c r="N1100" s="796"/>
      <c r="O1100" s="796"/>
    </row>
    <row r="1101" spans="2:15">
      <c r="C1101" s="788">
        <f>IF(D1085="","-",+C1100+1)</f>
        <v>2024</v>
      </c>
      <c r="D1101" s="736">
        <f t="shared" si="66"/>
        <v>15644763.085714299</v>
      </c>
      <c r="E1101" s="789">
        <f t="shared" si="71"/>
        <v>601721.65714285709</v>
      </c>
      <c r="F1101" s="736">
        <f t="shared" si="67"/>
        <v>15043041.428571442</v>
      </c>
      <c r="G1101" s="794">
        <f t="shared" si="68"/>
        <v>2818974.3378968462</v>
      </c>
      <c r="H1101" s="795">
        <f t="shared" si="69"/>
        <v>2818974.3378968462</v>
      </c>
      <c r="I1101" s="792">
        <f t="shared" si="70"/>
        <v>0</v>
      </c>
      <c r="J1101" s="792"/>
      <c r="K1101" s="812"/>
      <c r="L1101" s="796"/>
      <c r="M1101" s="812"/>
      <c r="N1101" s="796"/>
      <c r="O1101" s="796"/>
    </row>
    <row r="1102" spans="2:15">
      <c r="C1102" s="788">
        <f>IF(D1085="","-",+C1101+1)</f>
        <v>2025</v>
      </c>
      <c r="D1102" s="736">
        <f t="shared" si="66"/>
        <v>15043041.428571442</v>
      </c>
      <c r="E1102" s="789">
        <f t="shared" si="71"/>
        <v>601721.65714285709</v>
      </c>
      <c r="F1102" s="736">
        <f t="shared" si="67"/>
        <v>14441319.771428585</v>
      </c>
      <c r="G1102" s="794">
        <f t="shared" si="68"/>
        <v>2732023.2523770817</v>
      </c>
      <c r="H1102" s="795">
        <f t="shared" si="69"/>
        <v>2732023.2523770817</v>
      </c>
      <c r="I1102" s="792">
        <f t="shared" si="70"/>
        <v>0</v>
      </c>
      <c r="J1102" s="792"/>
      <c r="K1102" s="812"/>
      <c r="L1102" s="796"/>
      <c r="M1102" s="812"/>
      <c r="N1102" s="796"/>
      <c r="O1102" s="796"/>
    </row>
    <row r="1103" spans="2:15">
      <c r="C1103" s="788">
        <f>IF(D1085="","-",+C1102+1)</f>
        <v>2026</v>
      </c>
      <c r="D1103" s="736">
        <f t="shared" si="66"/>
        <v>14441319.771428585</v>
      </c>
      <c r="E1103" s="789">
        <f t="shared" si="71"/>
        <v>601721.65714285709</v>
      </c>
      <c r="F1103" s="736">
        <f t="shared" si="67"/>
        <v>13839598.114285728</v>
      </c>
      <c r="G1103" s="794">
        <f t="shared" si="68"/>
        <v>2645072.1668573176</v>
      </c>
      <c r="H1103" s="795">
        <f t="shared" si="69"/>
        <v>2645072.1668573176</v>
      </c>
      <c r="I1103" s="792">
        <f t="shared" si="70"/>
        <v>0</v>
      </c>
      <c r="J1103" s="792"/>
      <c r="K1103" s="812"/>
      <c r="L1103" s="796"/>
      <c r="M1103" s="812"/>
      <c r="N1103" s="797"/>
      <c r="O1103" s="796"/>
    </row>
    <row r="1104" spans="2:15">
      <c r="C1104" s="788">
        <f>IF(D1085="","-",+C1103+1)</f>
        <v>2027</v>
      </c>
      <c r="D1104" s="736">
        <f t="shared" si="66"/>
        <v>13839598.114285728</v>
      </c>
      <c r="E1104" s="789">
        <f t="shared" si="71"/>
        <v>601721.65714285709</v>
      </c>
      <c r="F1104" s="736">
        <f t="shared" si="67"/>
        <v>13237876.457142871</v>
      </c>
      <c r="G1104" s="794">
        <f t="shared" si="68"/>
        <v>2558121.0813375534</v>
      </c>
      <c r="H1104" s="795">
        <f t="shared" si="69"/>
        <v>2558121.0813375534</v>
      </c>
      <c r="I1104" s="792">
        <f t="shared" si="70"/>
        <v>0</v>
      </c>
      <c r="J1104" s="792"/>
      <c r="K1104" s="812"/>
      <c r="L1104" s="796"/>
      <c r="M1104" s="812"/>
      <c r="N1104" s="796"/>
      <c r="O1104" s="796"/>
    </row>
    <row r="1105" spans="3:15">
      <c r="C1105" s="788">
        <f>IF(D1085="","-",+C1104+1)</f>
        <v>2028</v>
      </c>
      <c r="D1105" s="736">
        <f t="shared" si="66"/>
        <v>13237876.457142871</v>
      </c>
      <c r="E1105" s="789">
        <f t="shared" si="71"/>
        <v>601721.65714285709</v>
      </c>
      <c r="F1105" s="736">
        <f t="shared" si="67"/>
        <v>12636154.800000014</v>
      </c>
      <c r="G1105" s="794">
        <f t="shared" si="68"/>
        <v>2471169.9958177893</v>
      </c>
      <c r="H1105" s="795">
        <f t="shared" si="69"/>
        <v>2471169.9958177893</v>
      </c>
      <c r="I1105" s="792">
        <f t="shared" si="70"/>
        <v>0</v>
      </c>
      <c r="J1105" s="792"/>
      <c r="K1105" s="812"/>
      <c r="L1105" s="796"/>
      <c r="M1105" s="812"/>
      <c r="N1105" s="796"/>
      <c r="O1105" s="796"/>
    </row>
    <row r="1106" spans="3:15">
      <c r="C1106" s="788">
        <f>IF(D1085="","-",+C1105+1)</f>
        <v>2029</v>
      </c>
      <c r="D1106" s="736">
        <f t="shared" si="66"/>
        <v>12636154.800000014</v>
      </c>
      <c r="E1106" s="789">
        <f t="shared" si="71"/>
        <v>601721.65714285709</v>
      </c>
      <c r="F1106" s="736">
        <f t="shared" si="67"/>
        <v>12034433.142857157</v>
      </c>
      <c r="G1106" s="794">
        <f t="shared" si="68"/>
        <v>2384218.9102980248</v>
      </c>
      <c r="H1106" s="795">
        <f t="shared" si="69"/>
        <v>2384218.9102980248</v>
      </c>
      <c r="I1106" s="792">
        <f t="shared" si="70"/>
        <v>0</v>
      </c>
      <c r="J1106" s="792"/>
      <c r="K1106" s="812"/>
      <c r="L1106" s="796"/>
      <c r="M1106" s="812"/>
      <c r="N1106" s="796"/>
      <c r="O1106" s="796"/>
    </row>
    <row r="1107" spans="3:15">
      <c r="C1107" s="788">
        <f>IF(D1085="","-",+C1106+1)</f>
        <v>2030</v>
      </c>
      <c r="D1107" s="736">
        <f t="shared" si="66"/>
        <v>12034433.142857157</v>
      </c>
      <c r="E1107" s="789">
        <f t="shared" si="71"/>
        <v>601721.65714285709</v>
      </c>
      <c r="F1107" s="736">
        <f t="shared" si="67"/>
        <v>11432711.4857143</v>
      </c>
      <c r="G1107" s="794">
        <f t="shared" si="68"/>
        <v>2297267.8247782607</v>
      </c>
      <c r="H1107" s="795">
        <f t="shared" si="69"/>
        <v>2297267.8247782607</v>
      </c>
      <c r="I1107" s="792">
        <f t="shared" si="70"/>
        <v>0</v>
      </c>
      <c r="J1107" s="792"/>
      <c r="K1107" s="812"/>
      <c r="L1107" s="796"/>
      <c r="M1107" s="812"/>
      <c r="N1107" s="796"/>
      <c r="O1107" s="796"/>
    </row>
    <row r="1108" spans="3:15">
      <c r="C1108" s="788">
        <f>IF(D1085="","-",+C1107+1)</f>
        <v>2031</v>
      </c>
      <c r="D1108" s="736">
        <f t="shared" si="66"/>
        <v>11432711.4857143</v>
      </c>
      <c r="E1108" s="789">
        <f t="shared" si="71"/>
        <v>601721.65714285709</v>
      </c>
      <c r="F1108" s="736">
        <f t="shared" si="67"/>
        <v>10830989.828571443</v>
      </c>
      <c r="G1108" s="794">
        <f t="shared" si="68"/>
        <v>2210316.7392584966</v>
      </c>
      <c r="H1108" s="795">
        <f t="shared" si="69"/>
        <v>2210316.7392584966</v>
      </c>
      <c r="I1108" s="792">
        <f t="shared" si="70"/>
        <v>0</v>
      </c>
      <c r="J1108" s="792"/>
      <c r="K1108" s="812"/>
      <c r="L1108" s="796"/>
      <c r="M1108" s="812"/>
      <c r="N1108" s="796"/>
      <c r="O1108" s="796"/>
    </row>
    <row r="1109" spans="3:15">
      <c r="C1109" s="788">
        <f>IF(D1085="","-",+C1108+1)</f>
        <v>2032</v>
      </c>
      <c r="D1109" s="736">
        <f t="shared" si="66"/>
        <v>10830989.828571443</v>
      </c>
      <c r="E1109" s="789">
        <f t="shared" si="71"/>
        <v>601721.65714285709</v>
      </c>
      <c r="F1109" s="736">
        <f t="shared" si="67"/>
        <v>10229268.171428585</v>
      </c>
      <c r="G1109" s="794">
        <f t="shared" si="68"/>
        <v>2123365.6537387324</v>
      </c>
      <c r="H1109" s="795">
        <f t="shared" si="69"/>
        <v>2123365.6537387324</v>
      </c>
      <c r="I1109" s="792">
        <f t="shared" si="70"/>
        <v>0</v>
      </c>
      <c r="J1109" s="792"/>
      <c r="K1109" s="812"/>
      <c r="L1109" s="796"/>
      <c r="M1109" s="812"/>
      <c r="N1109" s="796"/>
      <c r="O1109" s="796"/>
    </row>
    <row r="1110" spans="3:15">
      <c r="C1110" s="788">
        <f>IF(D1085="","-",+C1109+1)</f>
        <v>2033</v>
      </c>
      <c r="D1110" s="736">
        <f t="shared" si="66"/>
        <v>10229268.171428585</v>
      </c>
      <c r="E1110" s="789">
        <f t="shared" si="71"/>
        <v>601721.65714285709</v>
      </c>
      <c r="F1110" s="736">
        <f t="shared" si="67"/>
        <v>9627546.5142857283</v>
      </c>
      <c r="G1110" s="794">
        <f t="shared" si="68"/>
        <v>2036414.5682189681</v>
      </c>
      <c r="H1110" s="795">
        <f t="shared" si="69"/>
        <v>2036414.5682189681</v>
      </c>
      <c r="I1110" s="792">
        <f t="shared" si="70"/>
        <v>0</v>
      </c>
      <c r="J1110" s="792"/>
      <c r="K1110" s="812"/>
      <c r="L1110" s="796"/>
      <c r="M1110" s="812"/>
      <c r="N1110" s="796"/>
      <c r="O1110" s="796"/>
    </row>
    <row r="1111" spans="3:15">
      <c r="C1111" s="788">
        <f>IF(D1085="","-",+C1110+1)</f>
        <v>2034</v>
      </c>
      <c r="D1111" s="736">
        <f t="shared" si="66"/>
        <v>9627546.5142857283</v>
      </c>
      <c r="E1111" s="789">
        <f t="shared" si="71"/>
        <v>601721.65714285709</v>
      </c>
      <c r="F1111" s="736">
        <f t="shared" si="67"/>
        <v>9025824.8571428712</v>
      </c>
      <c r="G1111" s="794">
        <f t="shared" si="68"/>
        <v>1949463.4826992042</v>
      </c>
      <c r="H1111" s="795">
        <f t="shared" si="69"/>
        <v>1949463.4826992042</v>
      </c>
      <c r="I1111" s="792">
        <f t="shared" si="70"/>
        <v>0</v>
      </c>
      <c r="J1111" s="792"/>
      <c r="K1111" s="812"/>
      <c r="L1111" s="796"/>
      <c r="M1111" s="812"/>
      <c r="N1111" s="796"/>
      <c r="O1111" s="796"/>
    </row>
    <row r="1112" spans="3:15">
      <c r="C1112" s="788">
        <f>IF(D1085="","-",+C1111+1)</f>
        <v>2035</v>
      </c>
      <c r="D1112" s="736">
        <f t="shared" si="66"/>
        <v>9025824.8571428712</v>
      </c>
      <c r="E1112" s="789">
        <f t="shared" si="71"/>
        <v>601721.65714285709</v>
      </c>
      <c r="F1112" s="736">
        <f t="shared" si="67"/>
        <v>8424103.2000000142</v>
      </c>
      <c r="G1112" s="794">
        <f t="shared" si="68"/>
        <v>1862512.3971794397</v>
      </c>
      <c r="H1112" s="795">
        <f t="shared" si="69"/>
        <v>1862512.3971794397</v>
      </c>
      <c r="I1112" s="792">
        <f t="shared" si="70"/>
        <v>0</v>
      </c>
      <c r="J1112" s="792"/>
      <c r="K1112" s="812"/>
      <c r="L1112" s="796"/>
      <c r="M1112" s="812"/>
      <c r="N1112" s="796"/>
      <c r="O1112" s="796"/>
    </row>
    <row r="1113" spans="3:15">
      <c r="C1113" s="788">
        <f>IF(D1085="","-",+C1112+1)</f>
        <v>2036</v>
      </c>
      <c r="D1113" s="736">
        <f t="shared" si="66"/>
        <v>8424103.2000000142</v>
      </c>
      <c r="E1113" s="789">
        <f t="shared" si="71"/>
        <v>601721.65714285709</v>
      </c>
      <c r="F1113" s="736">
        <f t="shared" si="67"/>
        <v>7822381.5428571571</v>
      </c>
      <c r="G1113" s="794">
        <f t="shared" si="68"/>
        <v>1775561.3116596758</v>
      </c>
      <c r="H1113" s="795">
        <f t="shared" si="69"/>
        <v>1775561.3116596758</v>
      </c>
      <c r="I1113" s="792">
        <f t="shared" si="70"/>
        <v>0</v>
      </c>
      <c r="J1113" s="792"/>
      <c r="K1113" s="812"/>
      <c r="L1113" s="796"/>
      <c r="M1113" s="812"/>
      <c r="N1113" s="796"/>
      <c r="O1113" s="796"/>
    </row>
    <row r="1114" spans="3:15">
      <c r="C1114" s="788">
        <f>IF(D1085="","-",+C1113+1)</f>
        <v>2037</v>
      </c>
      <c r="D1114" s="736">
        <f t="shared" si="66"/>
        <v>7822381.5428571571</v>
      </c>
      <c r="E1114" s="789">
        <f t="shared" si="71"/>
        <v>601721.65714285709</v>
      </c>
      <c r="F1114" s="736">
        <f t="shared" si="67"/>
        <v>7220659.8857143</v>
      </c>
      <c r="G1114" s="794">
        <f t="shared" si="68"/>
        <v>1688610.2261399115</v>
      </c>
      <c r="H1114" s="795">
        <f t="shared" si="69"/>
        <v>1688610.2261399115</v>
      </c>
      <c r="I1114" s="792">
        <f t="shared" si="70"/>
        <v>0</v>
      </c>
      <c r="J1114" s="792"/>
      <c r="K1114" s="812"/>
      <c r="L1114" s="796"/>
      <c r="M1114" s="812"/>
      <c r="N1114" s="796"/>
      <c r="O1114" s="796"/>
    </row>
    <row r="1115" spans="3:15">
      <c r="C1115" s="788">
        <f>IF(D1085="","-",+C1114+1)</f>
        <v>2038</v>
      </c>
      <c r="D1115" s="736">
        <f t="shared" si="66"/>
        <v>7220659.8857143</v>
      </c>
      <c r="E1115" s="789">
        <f t="shared" si="71"/>
        <v>601721.65714285709</v>
      </c>
      <c r="F1115" s="736">
        <f t="shared" si="67"/>
        <v>6618938.2285714429</v>
      </c>
      <c r="G1115" s="794">
        <f t="shared" si="68"/>
        <v>1601659.1406201473</v>
      </c>
      <c r="H1115" s="795">
        <f t="shared" si="69"/>
        <v>1601659.1406201473</v>
      </c>
      <c r="I1115" s="792">
        <f t="shared" si="70"/>
        <v>0</v>
      </c>
      <c r="J1115" s="792"/>
      <c r="K1115" s="812"/>
      <c r="L1115" s="796"/>
      <c r="M1115" s="812"/>
      <c r="N1115" s="796"/>
      <c r="O1115" s="796"/>
    </row>
    <row r="1116" spans="3:15">
      <c r="C1116" s="788">
        <f>IF(D1085="","-",+C1115+1)</f>
        <v>2039</v>
      </c>
      <c r="D1116" s="736">
        <f t="shared" si="66"/>
        <v>6618938.2285714429</v>
      </c>
      <c r="E1116" s="789">
        <f t="shared" si="71"/>
        <v>601721.65714285709</v>
      </c>
      <c r="F1116" s="736">
        <f t="shared" si="67"/>
        <v>6017216.5714285858</v>
      </c>
      <c r="G1116" s="794">
        <f t="shared" si="68"/>
        <v>1514708.0551003832</v>
      </c>
      <c r="H1116" s="795">
        <f t="shared" si="69"/>
        <v>1514708.0551003832</v>
      </c>
      <c r="I1116" s="792">
        <f t="shared" si="70"/>
        <v>0</v>
      </c>
      <c r="J1116" s="792"/>
      <c r="K1116" s="812"/>
      <c r="L1116" s="796"/>
      <c r="M1116" s="812"/>
      <c r="N1116" s="796"/>
      <c r="O1116" s="796"/>
    </row>
    <row r="1117" spans="3:15">
      <c r="C1117" s="788">
        <f>IF(D1085="","-",+C1116+1)</f>
        <v>2040</v>
      </c>
      <c r="D1117" s="736">
        <f t="shared" si="66"/>
        <v>6017216.5714285858</v>
      </c>
      <c r="E1117" s="789">
        <f t="shared" si="71"/>
        <v>601721.65714285709</v>
      </c>
      <c r="F1117" s="736">
        <f t="shared" si="67"/>
        <v>5415494.9142857287</v>
      </c>
      <c r="G1117" s="794">
        <f t="shared" si="68"/>
        <v>1427756.9695806191</v>
      </c>
      <c r="H1117" s="795">
        <f t="shared" si="69"/>
        <v>1427756.9695806191</v>
      </c>
      <c r="I1117" s="792">
        <f t="shared" si="70"/>
        <v>0</v>
      </c>
      <c r="J1117" s="792"/>
      <c r="K1117" s="812"/>
      <c r="L1117" s="796"/>
      <c r="M1117" s="812"/>
      <c r="N1117" s="796"/>
      <c r="O1117" s="796"/>
    </row>
    <row r="1118" spans="3:15">
      <c r="C1118" s="788">
        <f>IF(D1085="","-",+C1117+1)</f>
        <v>2041</v>
      </c>
      <c r="D1118" s="736">
        <f t="shared" si="66"/>
        <v>5415494.9142857287</v>
      </c>
      <c r="E1118" s="789">
        <f t="shared" si="71"/>
        <v>601721.65714285709</v>
      </c>
      <c r="F1118" s="736">
        <f t="shared" si="67"/>
        <v>4813773.2571428716</v>
      </c>
      <c r="G1118" s="794">
        <f t="shared" si="68"/>
        <v>1340805.8840608548</v>
      </c>
      <c r="H1118" s="795">
        <f t="shared" si="69"/>
        <v>1340805.8840608548</v>
      </c>
      <c r="I1118" s="792">
        <f t="shared" si="70"/>
        <v>0</v>
      </c>
      <c r="J1118" s="792"/>
      <c r="K1118" s="812"/>
      <c r="L1118" s="796"/>
      <c r="M1118" s="812"/>
      <c r="N1118" s="796"/>
      <c r="O1118" s="796"/>
    </row>
    <row r="1119" spans="3:15">
      <c r="C1119" s="788">
        <f>IF(D1085="","-",+C1118+1)</f>
        <v>2042</v>
      </c>
      <c r="D1119" s="736">
        <f t="shared" si="66"/>
        <v>4813773.2571428716</v>
      </c>
      <c r="E1119" s="789">
        <f t="shared" si="71"/>
        <v>601721.65714285709</v>
      </c>
      <c r="F1119" s="736">
        <f t="shared" si="67"/>
        <v>4212051.6000000145</v>
      </c>
      <c r="G1119" s="790">
        <f t="shared" si="68"/>
        <v>1253854.7985410905</v>
      </c>
      <c r="H1119" s="795">
        <f t="shared" si="69"/>
        <v>1253854.7985410905</v>
      </c>
      <c r="I1119" s="792">
        <f t="shared" si="70"/>
        <v>0</v>
      </c>
      <c r="J1119" s="792"/>
      <c r="K1119" s="812"/>
      <c r="L1119" s="796"/>
      <c r="M1119" s="812"/>
      <c r="N1119" s="796"/>
      <c r="O1119" s="796"/>
    </row>
    <row r="1120" spans="3:15">
      <c r="C1120" s="788">
        <f>IF(D1085="","-",+C1119+1)</f>
        <v>2043</v>
      </c>
      <c r="D1120" s="736">
        <f t="shared" si="66"/>
        <v>4212051.6000000145</v>
      </c>
      <c r="E1120" s="789">
        <f t="shared" si="71"/>
        <v>601721.65714285709</v>
      </c>
      <c r="F1120" s="736">
        <f t="shared" si="67"/>
        <v>3610329.9428571574</v>
      </c>
      <c r="G1120" s="794">
        <f t="shared" si="68"/>
        <v>1166903.7130213263</v>
      </c>
      <c r="H1120" s="795">
        <f t="shared" si="69"/>
        <v>1166903.7130213263</v>
      </c>
      <c r="I1120" s="792">
        <f t="shared" si="70"/>
        <v>0</v>
      </c>
      <c r="J1120" s="792"/>
      <c r="K1120" s="812"/>
      <c r="L1120" s="796"/>
      <c r="M1120" s="812"/>
      <c r="N1120" s="796"/>
      <c r="O1120" s="796"/>
    </row>
    <row r="1121" spans="3:15">
      <c r="C1121" s="788">
        <f>IF(D1085="","-",+C1120+1)</f>
        <v>2044</v>
      </c>
      <c r="D1121" s="736">
        <f t="shared" si="66"/>
        <v>3610329.9428571574</v>
      </c>
      <c r="E1121" s="789">
        <f t="shared" si="71"/>
        <v>601721.65714285709</v>
      </c>
      <c r="F1121" s="736">
        <f t="shared" si="67"/>
        <v>3008608.2857143003</v>
      </c>
      <c r="G1121" s="794">
        <f t="shared" si="68"/>
        <v>1079952.6275015622</v>
      </c>
      <c r="H1121" s="795">
        <f t="shared" si="69"/>
        <v>1079952.6275015622</v>
      </c>
      <c r="I1121" s="792">
        <f t="shared" si="70"/>
        <v>0</v>
      </c>
      <c r="J1121" s="792"/>
      <c r="K1121" s="812"/>
      <c r="L1121" s="796"/>
      <c r="M1121" s="812"/>
      <c r="N1121" s="796"/>
      <c r="O1121" s="796"/>
    </row>
    <row r="1122" spans="3:15">
      <c r="C1122" s="788">
        <f>IF(D1085="","-",+C1121+1)</f>
        <v>2045</v>
      </c>
      <c r="D1122" s="736">
        <f t="shared" si="66"/>
        <v>3008608.2857143003</v>
      </c>
      <c r="E1122" s="789">
        <f t="shared" si="71"/>
        <v>601721.65714285709</v>
      </c>
      <c r="F1122" s="736">
        <f t="shared" si="67"/>
        <v>2406886.6285714433</v>
      </c>
      <c r="G1122" s="794">
        <f t="shared" si="68"/>
        <v>993001.54198179813</v>
      </c>
      <c r="H1122" s="795">
        <f t="shared" si="69"/>
        <v>993001.54198179813</v>
      </c>
      <c r="I1122" s="792">
        <f t="shared" si="70"/>
        <v>0</v>
      </c>
      <c r="J1122" s="792"/>
      <c r="K1122" s="812"/>
      <c r="L1122" s="796"/>
      <c r="M1122" s="812"/>
      <c r="N1122" s="796"/>
      <c r="O1122" s="796"/>
    </row>
    <row r="1123" spans="3:15">
      <c r="C1123" s="788">
        <f>IF(D1085="","-",+C1122+1)</f>
        <v>2046</v>
      </c>
      <c r="D1123" s="736">
        <f t="shared" si="66"/>
        <v>2406886.6285714433</v>
      </c>
      <c r="E1123" s="789">
        <f t="shared" si="71"/>
        <v>601721.65714285709</v>
      </c>
      <c r="F1123" s="736">
        <f t="shared" si="67"/>
        <v>1805164.9714285862</v>
      </c>
      <c r="G1123" s="794">
        <f t="shared" si="68"/>
        <v>906050.45646203391</v>
      </c>
      <c r="H1123" s="795">
        <f t="shared" si="69"/>
        <v>906050.45646203391</v>
      </c>
      <c r="I1123" s="792">
        <f t="shared" si="70"/>
        <v>0</v>
      </c>
      <c r="J1123" s="792"/>
      <c r="K1123" s="812"/>
      <c r="L1123" s="796"/>
      <c r="M1123" s="812"/>
      <c r="N1123" s="796"/>
      <c r="O1123" s="796"/>
    </row>
    <row r="1124" spans="3:15">
      <c r="C1124" s="788">
        <f>IF(D1085="","-",+C1123+1)</f>
        <v>2047</v>
      </c>
      <c r="D1124" s="736">
        <f t="shared" si="66"/>
        <v>1805164.9714285862</v>
      </c>
      <c r="E1124" s="789">
        <f t="shared" si="71"/>
        <v>601721.65714285709</v>
      </c>
      <c r="F1124" s="736">
        <f t="shared" si="67"/>
        <v>1203443.3142857291</v>
      </c>
      <c r="G1124" s="794">
        <f t="shared" si="68"/>
        <v>819099.37094226968</v>
      </c>
      <c r="H1124" s="795">
        <f t="shared" si="69"/>
        <v>819099.37094226968</v>
      </c>
      <c r="I1124" s="792">
        <f t="shared" si="70"/>
        <v>0</v>
      </c>
      <c r="J1124" s="792"/>
      <c r="K1124" s="812"/>
      <c r="L1124" s="796"/>
      <c r="M1124" s="812"/>
      <c r="N1124" s="796"/>
      <c r="O1124" s="796"/>
    </row>
    <row r="1125" spans="3:15">
      <c r="C1125" s="788">
        <f>IF(D1085="","-",+C1124+1)</f>
        <v>2048</v>
      </c>
      <c r="D1125" s="736">
        <f t="shared" si="66"/>
        <v>1203443.3142857291</v>
      </c>
      <c r="E1125" s="789">
        <f t="shared" si="71"/>
        <v>601721.65714285709</v>
      </c>
      <c r="F1125" s="736">
        <f t="shared" si="67"/>
        <v>601721.65714287199</v>
      </c>
      <c r="G1125" s="794">
        <f t="shared" si="68"/>
        <v>732148.28542250558</v>
      </c>
      <c r="H1125" s="795">
        <f t="shared" si="69"/>
        <v>732148.28542250558</v>
      </c>
      <c r="I1125" s="792">
        <f t="shared" si="70"/>
        <v>0</v>
      </c>
      <c r="J1125" s="792"/>
      <c r="K1125" s="812"/>
      <c r="L1125" s="796"/>
      <c r="M1125" s="812"/>
      <c r="N1125" s="796"/>
      <c r="O1125" s="796"/>
    </row>
    <row r="1126" spans="3:15">
      <c r="C1126" s="788">
        <f>IF(D1085="","-",+C1125+1)</f>
        <v>2049</v>
      </c>
      <c r="D1126" s="736">
        <f t="shared" si="66"/>
        <v>601721.65714287199</v>
      </c>
      <c r="E1126" s="789">
        <f t="shared" si="71"/>
        <v>601721.65714285709</v>
      </c>
      <c r="F1126" s="736">
        <f t="shared" si="67"/>
        <v>1.4901161193847656E-8</v>
      </c>
      <c r="G1126" s="794">
        <f t="shared" si="68"/>
        <v>645197.19990274135</v>
      </c>
      <c r="H1126" s="795">
        <f t="shared" si="69"/>
        <v>645197.19990274135</v>
      </c>
      <c r="I1126" s="792">
        <f t="shared" si="70"/>
        <v>0</v>
      </c>
      <c r="J1126" s="792"/>
      <c r="K1126" s="812"/>
      <c r="L1126" s="796"/>
      <c r="M1126" s="812"/>
      <c r="N1126" s="796"/>
      <c r="O1126" s="796"/>
    </row>
    <row r="1127" spans="3:15">
      <c r="C1127" s="788">
        <f>IF(D1085="","-",+C1126+1)</f>
        <v>2050</v>
      </c>
      <c r="D1127" s="736">
        <f t="shared" si="66"/>
        <v>1.4901161193847656E-8</v>
      </c>
      <c r="E1127" s="789">
        <f t="shared" si="71"/>
        <v>1.4901161193847656E-8</v>
      </c>
      <c r="F1127" s="736">
        <f t="shared" si="67"/>
        <v>0</v>
      </c>
      <c r="G1127" s="794">
        <f t="shared" si="68"/>
        <v>1.5977798644012118E-8</v>
      </c>
      <c r="H1127" s="795">
        <f t="shared" si="69"/>
        <v>1.5977798644012118E-8</v>
      </c>
      <c r="I1127" s="792">
        <f t="shared" si="70"/>
        <v>0</v>
      </c>
      <c r="J1127" s="792"/>
      <c r="K1127" s="812"/>
      <c r="L1127" s="796"/>
      <c r="M1127" s="812"/>
      <c r="N1127" s="796"/>
      <c r="O1127" s="796"/>
    </row>
    <row r="1128" spans="3:15">
      <c r="C1128" s="788">
        <f>IF(D1085="","-",+C1127+1)</f>
        <v>2051</v>
      </c>
      <c r="D1128" s="736">
        <f t="shared" si="66"/>
        <v>0</v>
      </c>
      <c r="E1128" s="789">
        <f t="shared" si="71"/>
        <v>0</v>
      </c>
      <c r="F1128" s="736">
        <f t="shared" si="67"/>
        <v>0</v>
      </c>
      <c r="G1128" s="794">
        <f t="shared" si="68"/>
        <v>0</v>
      </c>
      <c r="H1128" s="795">
        <f t="shared" si="69"/>
        <v>0</v>
      </c>
      <c r="I1128" s="792">
        <f t="shared" si="70"/>
        <v>0</v>
      </c>
      <c r="J1128" s="792"/>
      <c r="K1128" s="812"/>
      <c r="L1128" s="796"/>
      <c r="M1128" s="812"/>
      <c r="N1128" s="796"/>
      <c r="O1128" s="796"/>
    </row>
    <row r="1129" spans="3:15">
      <c r="C1129" s="788">
        <f>IF(D1085="","-",+C1128+1)</f>
        <v>2052</v>
      </c>
      <c r="D1129" s="736">
        <f t="shared" si="66"/>
        <v>0</v>
      </c>
      <c r="E1129" s="789">
        <f t="shared" si="71"/>
        <v>0</v>
      </c>
      <c r="F1129" s="736">
        <f t="shared" si="67"/>
        <v>0</v>
      </c>
      <c r="G1129" s="794">
        <f t="shared" si="68"/>
        <v>0</v>
      </c>
      <c r="H1129" s="795">
        <f t="shared" si="69"/>
        <v>0</v>
      </c>
      <c r="I1129" s="792">
        <f t="shared" si="70"/>
        <v>0</v>
      </c>
      <c r="J1129" s="792"/>
      <c r="K1129" s="812"/>
      <c r="L1129" s="796"/>
      <c r="M1129" s="812"/>
      <c r="N1129" s="796"/>
      <c r="O1129" s="796"/>
    </row>
    <row r="1130" spans="3:15">
      <c r="C1130" s="788">
        <f>IF(D1085="","-",+C1129+1)</f>
        <v>2053</v>
      </c>
      <c r="D1130" s="736">
        <f t="shared" si="66"/>
        <v>0</v>
      </c>
      <c r="E1130" s="789">
        <f t="shared" si="71"/>
        <v>0</v>
      </c>
      <c r="F1130" s="736">
        <f t="shared" si="67"/>
        <v>0</v>
      </c>
      <c r="G1130" s="794">
        <f t="shared" si="68"/>
        <v>0</v>
      </c>
      <c r="H1130" s="795">
        <f t="shared" si="69"/>
        <v>0</v>
      </c>
      <c r="I1130" s="792">
        <f t="shared" si="70"/>
        <v>0</v>
      </c>
      <c r="J1130" s="792"/>
      <c r="K1130" s="812"/>
      <c r="L1130" s="796"/>
      <c r="M1130" s="812"/>
      <c r="N1130" s="796"/>
      <c r="O1130" s="796"/>
    </row>
    <row r="1131" spans="3:15">
      <c r="C1131" s="788">
        <f>IF(D1085="","-",+C1130+1)</f>
        <v>2054</v>
      </c>
      <c r="D1131" s="736">
        <f t="shared" si="66"/>
        <v>0</v>
      </c>
      <c r="E1131" s="789">
        <f t="shared" si="71"/>
        <v>0</v>
      </c>
      <c r="F1131" s="736">
        <f t="shared" si="67"/>
        <v>0</v>
      </c>
      <c r="G1131" s="794">
        <f t="shared" si="68"/>
        <v>0</v>
      </c>
      <c r="H1131" s="795">
        <f t="shared" si="69"/>
        <v>0</v>
      </c>
      <c r="I1131" s="792">
        <f t="shared" si="70"/>
        <v>0</v>
      </c>
      <c r="J1131" s="792"/>
      <c r="K1131" s="812"/>
      <c r="L1131" s="796"/>
      <c r="M1131" s="812"/>
      <c r="N1131" s="796"/>
      <c r="O1131" s="796"/>
    </row>
    <row r="1132" spans="3:15">
      <c r="C1132" s="788">
        <f>IF(D1085="","-",+C1131+1)</f>
        <v>2055</v>
      </c>
      <c r="D1132" s="736">
        <f t="shared" si="66"/>
        <v>0</v>
      </c>
      <c r="E1132" s="789">
        <f t="shared" si="71"/>
        <v>0</v>
      </c>
      <c r="F1132" s="736">
        <f t="shared" si="67"/>
        <v>0</v>
      </c>
      <c r="G1132" s="794">
        <f t="shared" si="68"/>
        <v>0</v>
      </c>
      <c r="H1132" s="795">
        <f t="shared" si="69"/>
        <v>0</v>
      </c>
      <c r="I1132" s="792">
        <f t="shared" si="70"/>
        <v>0</v>
      </c>
      <c r="J1132" s="792"/>
      <c r="K1132" s="812"/>
      <c r="L1132" s="796"/>
      <c r="M1132" s="812"/>
      <c r="N1132" s="796"/>
      <c r="O1132" s="796"/>
    </row>
    <row r="1133" spans="3:15">
      <c r="C1133" s="788">
        <f>IF(D1085="","-",+C1132+1)</f>
        <v>2056</v>
      </c>
      <c r="D1133" s="736">
        <f t="shared" si="66"/>
        <v>0</v>
      </c>
      <c r="E1133" s="789">
        <f t="shared" si="71"/>
        <v>0</v>
      </c>
      <c r="F1133" s="736">
        <f t="shared" si="67"/>
        <v>0</v>
      </c>
      <c r="G1133" s="794">
        <f t="shared" si="68"/>
        <v>0</v>
      </c>
      <c r="H1133" s="795">
        <f t="shared" si="69"/>
        <v>0</v>
      </c>
      <c r="I1133" s="792">
        <f t="shared" si="70"/>
        <v>0</v>
      </c>
      <c r="J1133" s="792"/>
      <c r="K1133" s="812"/>
      <c r="L1133" s="796"/>
      <c r="M1133" s="812"/>
      <c r="N1133" s="796"/>
      <c r="O1133" s="796"/>
    </row>
    <row r="1134" spans="3:15">
      <c r="C1134" s="788">
        <f>IF(D1085="","-",+C1133+1)</f>
        <v>2057</v>
      </c>
      <c r="D1134" s="736">
        <f t="shared" si="66"/>
        <v>0</v>
      </c>
      <c r="E1134" s="789">
        <f t="shared" si="71"/>
        <v>0</v>
      </c>
      <c r="F1134" s="736">
        <f t="shared" si="67"/>
        <v>0</v>
      </c>
      <c r="G1134" s="794">
        <f t="shared" si="68"/>
        <v>0</v>
      </c>
      <c r="H1134" s="795">
        <f t="shared" si="69"/>
        <v>0</v>
      </c>
      <c r="I1134" s="792">
        <f t="shared" si="70"/>
        <v>0</v>
      </c>
      <c r="J1134" s="792"/>
      <c r="K1134" s="812"/>
      <c r="L1134" s="796"/>
      <c r="M1134" s="812"/>
      <c r="N1134" s="796"/>
      <c r="O1134" s="796"/>
    </row>
    <row r="1135" spans="3:15">
      <c r="C1135" s="788">
        <f>IF(D1085="","-",+C1134+1)</f>
        <v>2058</v>
      </c>
      <c r="D1135" s="736">
        <f t="shared" si="66"/>
        <v>0</v>
      </c>
      <c r="E1135" s="789">
        <f t="shared" si="71"/>
        <v>0</v>
      </c>
      <c r="F1135" s="736">
        <f t="shared" si="67"/>
        <v>0</v>
      </c>
      <c r="G1135" s="794">
        <f t="shared" si="68"/>
        <v>0</v>
      </c>
      <c r="H1135" s="795">
        <f t="shared" si="69"/>
        <v>0</v>
      </c>
      <c r="I1135" s="792">
        <f t="shared" si="70"/>
        <v>0</v>
      </c>
      <c r="J1135" s="792"/>
      <c r="K1135" s="812"/>
      <c r="L1135" s="796"/>
      <c r="M1135" s="812"/>
      <c r="N1135" s="796"/>
      <c r="O1135" s="796"/>
    </row>
    <row r="1136" spans="3:15">
      <c r="C1136" s="788">
        <f>IF(D1085="","-",+C1135+1)</f>
        <v>2059</v>
      </c>
      <c r="D1136" s="736">
        <f t="shared" si="66"/>
        <v>0</v>
      </c>
      <c r="E1136" s="789">
        <f t="shared" si="71"/>
        <v>0</v>
      </c>
      <c r="F1136" s="736">
        <f t="shared" si="67"/>
        <v>0</v>
      </c>
      <c r="G1136" s="794">
        <f t="shared" si="68"/>
        <v>0</v>
      </c>
      <c r="H1136" s="795">
        <f t="shared" si="69"/>
        <v>0</v>
      </c>
      <c r="I1136" s="792">
        <f t="shared" si="70"/>
        <v>0</v>
      </c>
      <c r="J1136" s="792"/>
      <c r="K1136" s="812"/>
      <c r="L1136" s="796"/>
      <c r="M1136" s="812"/>
      <c r="N1136" s="796"/>
      <c r="O1136" s="796"/>
    </row>
    <row r="1137" spans="3:15">
      <c r="C1137" s="788">
        <f>IF(D1085="","-",+C1136+1)</f>
        <v>2060</v>
      </c>
      <c r="D1137" s="736">
        <f t="shared" si="66"/>
        <v>0</v>
      </c>
      <c r="E1137" s="789">
        <f t="shared" si="71"/>
        <v>0</v>
      </c>
      <c r="F1137" s="736">
        <f t="shared" si="67"/>
        <v>0</v>
      </c>
      <c r="G1137" s="794">
        <f t="shared" si="68"/>
        <v>0</v>
      </c>
      <c r="H1137" s="795">
        <f t="shared" si="69"/>
        <v>0</v>
      </c>
      <c r="I1137" s="792">
        <f t="shared" si="70"/>
        <v>0</v>
      </c>
      <c r="J1137" s="792"/>
      <c r="K1137" s="812"/>
      <c r="L1137" s="796"/>
      <c r="M1137" s="812"/>
      <c r="N1137" s="796"/>
      <c r="O1137" s="796"/>
    </row>
    <row r="1138" spans="3:15">
      <c r="C1138" s="788">
        <f>IF(D1085="","-",+C1137+1)</f>
        <v>2061</v>
      </c>
      <c r="D1138" s="736">
        <f t="shared" si="66"/>
        <v>0</v>
      </c>
      <c r="E1138" s="789">
        <f t="shared" si="71"/>
        <v>0</v>
      </c>
      <c r="F1138" s="736">
        <f t="shared" si="67"/>
        <v>0</v>
      </c>
      <c r="G1138" s="794">
        <f t="shared" si="68"/>
        <v>0</v>
      </c>
      <c r="H1138" s="795">
        <f t="shared" si="69"/>
        <v>0</v>
      </c>
      <c r="I1138" s="792">
        <f t="shared" si="70"/>
        <v>0</v>
      </c>
      <c r="J1138" s="792"/>
      <c r="K1138" s="812"/>
      <c r="L1138" s="796"/>
      <c r="M1138" s="812"/>
      <c r="N1138" s="796"/>
      <c r="O1138" s="796"/>
    </row>
    <row r="1139" spans="3:15">
      <c r="C1139" s="788">
        <f>IF(D1085="","-",+C1138+1)</f>
        <v>2062</v>
      </c>
      <c r="D1139" s="736">
        <f t="shared" si="66"/>
        <v>0</v>
      </c>
      <c r="E1139" s="789">
        <f t="shared" si="71"/>
        <v>0</v>
      </c>
      <c r="F1139" s="736">
        <f t="shared" si="67"/>
        <v>0</v>
      </c>
      <c r="G1139" s="794">
        <f t="shared" si="68"/>
        <v>0</v>
      </c>
      <c r="H1139" s="795">
        <f t="shared" si="69"/>
        <v>0</v>
      </c>
      <c r="I1139" s="792">
        <f t="shared" si="70"/>
        <v>0</v>
      </c>
      <c r="J1139" s="792"/>
      <c r="K1139" s="812"/>
      <c r="L1139" s="796"/>
      <c r="M1139" s="812"/>
      <c r="N1139" s="796"/>
      <c r="O1139" s="796"/>
    </row>
    <row r="1140" spans="3:15">
      <c r="C1140" s="788">
        <f>IF(D1085="","-",+C1139+1)</f>
        <v>2063</v>
      </c>
      <c r="D1140" s="736">
        <f t="shared" si="66"/>
        <v>0</v>
      </c>
      <c r="E1140" s="789">
        <f t="shared" si="71"/>
        <v>0</v>
      </c>
      <c r="F1140" s="736">
        <f t="shared" si="67"/>
        <v>0</v>
      </c>
      <c r="G1140" s="794">
        <f t="shared" si="68"/>
        <v>0</v>
      </c>
      <c r="H1140" s="795">
        <f t="shared" si="69"/>
        <v>0</v>
      </c>
      <c r="I1140" s="792">
        <f t="shared" si="70"/>
        <v>0</v>
      </c>
      <c r="J1140" s="792"/>
      <c r="K1140" s="812"/>
      <c r="L1140" s="796"/>
      <c r="M1140" s="812"/>
      <c r="N1140" s="796"/>
      <c r="O1140" s="796"/>
    </row>
    <row r="1141" spans="3:15">
      <c r="C1141" s="788">
        <f>IF(D1085="","-",+C1140+1)</f>
        <v>2064</v>
      </c>
      <c r="D1141" s="736">
        <f t="shared" si="66"/>
        <v>0</v>
      </c>
      <c r="E1141" s="789">
        <f t="shared" si="71"/>
        <v>0</v>
      </c>
      <c r="F1141" s="736">
        <f t="shared" si="67"/>
        <v>0</v>
      </c>
      <c r="G1141" s="794">
        <f t="shared" si="68"/>
        <v>0</v>
      </c>
      <c r="H1141" s="795">
        <f t="shared" si="69"/>
        <v>0</v>
      </c>
      <c r="I1141" s="792">
        <f t="shared" si="70"/>
        <v>0</v>
      </c>
      <c r="J1141" s="792"/>
      <c r="K1141" s="812"/>
      <c r="L1141" s="796"/>
      <c r="M1141" s="812"/>
      <c r="N1141" s="796"/>
      <c r="O1141" s="796"/>
    </row>
    <row r="1142" spans="3:15">
      <c r="C1142" s="788">
        <f>IF(D1085="","-",+C1141+1)</f>
        <v>2065</v>
      </c>
      <c r="D1142" s="736">
        <f t="shared" si="66"/>
        <v>0</v>
      </c>
      <c r="E1142" s="789">
        <f t="shared" si="71"/>
        <v>0</v>
      </c>
      <c r="F1142" s="736">
        <f t="shared" si="67"/>
        <v>0</v>
      </c>
      <c r="G1142" s="794">
        <f t="shared" si="68"/>
        <v>0</v>
      </c>
      <c r="H1142" s="795">
        <f t="shared" si="69"/>
        <v>0</v>
      </c>
      <c r="I1142" s="792">
        <f t="shared" si="70"/>
        <v>0</v>
      </c>
      <c r="J1142" s="792"/>
      <c r="K1142" s="812"/>
      <c r="L1142" s="796"/>
      <c r="M1142" s="812"/>
      <c r="N1142" s="796"/>
      <c r="O1142" s="796"/>
    </row>
    <row r="1143" spans="3:15">
      <c r="C1143" s="788">
        <f>IF(D1085="","-",+C1142+1)</f>
        <v>2066</v>
      </c>
      <c r="D1143" s="736">
        <f t="shared" si="66"/>
        <v>0</v>
      </c>
      <c r="E1143" s="789">
        <f t="shared" si="71"/>
        <v>0</v>
      </c>
      <c r="F1143" s="736">
        <f t="shared" si="67"/>
        <v>0</v>
      </c>
      <c r="G1143" s="794">
        <f t="shared" si="68"/>
        <v>0</v>
      </c>
      <c r="H1143" s="795">
        <f t="shared" si="69"/>
        <v>0</v>
      </c>
      <c r="I1143" s="792">
        <f t="shared" si="70"/>
        <v>0</v>
      </c>
      <c r="J1143" s="792"/>
      <c r="K1143" s="812"/>
      <c r="L1143" s="796"/>
      <c r="M1143" s="812"/>
      <c r="N1143" s="796"/>
      <c r="O1143" s="796"/>
    </row>
    <row r="1144" spans="3:15">
      <c r="C1144" s="788">
        <f>IF(D1085="","-",+C1143+1)</f>
        <v>2067</v>
      </c>
      <c r="D1144" s="736">
        <f t="shared" si="66"/>
        <v>0</v>
      </c>
      <c r="E1144" s="789">
        <f t="shared" si="71"/>
        <v>0</v>
      </c>
      <c r="F1144" s="736">
        <f t="shared" si="67"/>
        <v>0</v>
      </c>
      <c r="G1144" s="794">
        <f t="shared" si="68"/>
        <v>0</v>
      </c>
      <c r="H1144" s="795">
        <f t="shared" si="69"/>
        <v>0</v>
      </c>
      <c r="I1144" s="792">
        <f t="shared" si="70"/>
        <v>0</v>
      </c>
      <c r="J1144" s="792"/>
      <c r="K1144" s="812"/>
      <c r="L1144" s="796"/>
      <c r="M1144" s="812"/>
      <c r="N1144" s="796"/>
      <c r="O1144" s="796"/>
    </row>
    <row r="1145" spans="3:15">
      <c r="C1145" s="788">
        <f>IF(D1085="","-",+C1144+1)</f>
        <v>2068</v>
      </c>
      <c r="D1145" s="736">
        <f t="shared" si="66"/>
        <v>0</v>
      </c>
      <c r="E1145" s="789">
        <f t="shared" si="71"/>
        <v>0</v>
      </c>
      <c r="F1145" s="736">
        <f t="shared" si="67"/>
        <v>0</v>
      </c>
      <c r="G1145" s="794">
        <f t="shared" si="68"/>
        <v>0</v>
      </c>
      <c r="H1145" s="795">
        <f t="shared" si="69"/>
        <v>0</v>
      </c>
      <c r="I1145" s="792">
        <f t="shared" si="70"/>
        <v>0</v>
      </c>
      <c r="J1145" s="792"/>
      <c r="K1145" s="812"/>
      <c r="L1145" s="796"/>
      <c r="M1145" s="812"/>
      <c r="N1145" s="796"/>
      <c r="O1145" s="796"/>
    </row>
    <row r="1146" spans="3:15">
      <c r="C1146" s="788">
        <f>IF(D1085="","-",+C1145+1)</f>
        <v>2069</v>
      </c>
      <c r="D1146" s="736">
        <f t="shared" si="66"/>
        <v>0</v>
      </c>
      <c r="E1146" s="789">
        <f t="shared" si="71"/>
        <v>0</v>
      </c>
      <c r="F1146" s="736">
        <f t="shared" si="67"/>
        <v>0</v>
      </c>
      <c r="G1146" s="794">
        <f t="shared" si="68"/>
        <v>0</v>
      </c>
      <c r="H1146" s="795">
        <f t="shared" si="69"/>
        <v>0</v>
      </c>
      <c r="I1146" s="792">
        <f t="shared" si="70"/>
        <v>0</v>
      </c>
      <c r="J1146" s="792"/>
      <c r="K1146" s="812"/>
      <c r="L1146" s="796"/>
      <c r="M1146" s="812"/>
      <c r="N1146" s="796"/>
      <c r="O1146" s="796"/>
    </row>
    <row r="1147" spans="3:15">
      <c r="C1147" s="788">
        <f>IF(D1085="","-",+C1146+1)</f>
        <v>2070</v>
      </c>
      <c r="D1147" s="736">
        <f t="shared" si="66"/>
        <v>0</v>
      </c>
      <c r="E1147" s="789">
        <f t="shared" si="71"/>
        <v>0</v>
      </c>
      <c r="F1147" s="736">
        <f t="shared" si="67"/>
        <v>0</v>
      </c>
      <c r="G1147" s="794">
        <f t="shared" si="68"/>
        <v>0</v>
      </c>
      <c r="H1147" s="795">
        <f t="shared" si="69"/>
        <v>0</v>
      </c>
      <c r="I1147" s="792">
        <f t="shared" si="70"/>
        <v>0</v>
      </c>
      <c r="J1147" s="792"/>
      <c r="K1147" s="812"/>
      <c r="L1147" s="796"/>
      <c r="M1147" s="812"/>
      <c r="N1147" s="796"/>
      <c r="O1147" s="796"/>
    </row>
    <row r="1148" spans="3:15">
      <c r="C1148" s="788">
        <f>IF(D1085="","-",+C1147+1)</f>
        <v>2071</v>
      </c>
      <c r="D1148" s="736">
        <f t="shared" si="66"/>
        <v>0</v>
      </c>
      <c r="E1148" s="789">
        <f t="shared" si="71"/>
        <v>0</v>
      </c>
      <c r="F1148" s="736">
        <f t="shared" si="67"/>
        <v>0</v>
      </c>
      <c r="G1148" s="794">
        <f t="shared" si="68"/>
        <v>0</v>
      </c>
      <c r="H1148" s="795">
        <f t="shared" si="69"/>
        <v>0</v>
      </c>
      <c r="I1148" s="792">
        <f t="shared" si="70"/>
        <v>0</v>
      </c>
      <c r="J1148" s="792"/>
      <c r="K1148" s="812"/>
      <c r="L1148" s="796"/>
      <c r="M1148" s="812"/>
      <c r="N1148" s="796"/>
      <c r="O1148" s="796"/>
    </row>
    <row r="1149" spans="3:15">
      <c r="C1149" s="788">
        <f>IF(D1085="","-",+C1148+1)</f>
        <v>2072</v>
      </c>
      <c r="D1149" s="736">
        <f t="shared" si="66"/>
        <v>0</v>
      </c>
      <c r="E1149" s="789">
        <f t="shared" si="71"/>
        <v>0</v>
      </c>
      <c r="F1149" s="736">
        <f t="shared" si="67"/>
        <v>0</v>
      </c>
      <c r="G1149" s="794">
        <f t="shared" si="68"/>
        <v>0</v>
      </c>
      <c r="H1149" s="795">
        <f t="shared" si="69"/>
        <v>0</v>
      </c>
      <c r="I1149" s="792">
        <f t="shared" si="70"/>
        <v>0</v>
      </c>
      <c r="J1149" s="792"/>
      <c r="K1149" s="812"/>
      <c r="L1149" s="796"/>
      <c r="M1149" s="812"/>
      <c r="N1149" s="796"/>
      <c r="O1149" s="796"/>
    </row>
    <row r="1150" spans="3:15" ht="13.5" thickBot="1">
      <c r="C1150" s="798">
        <f>IF(D1085="","-",+C1149+1)</f>
        <v>2073</v>
      </c>
      <c r="D1150" s="799">
        <f t="shared" si="66"/>
        <v>0</v>
      </c>
      <c r="E1150" s="800">
        <f t="shared" si="71"/>
        <v>0</v>
      </c>
      <c r="F1150" s="799">
        <f t="shared" si="67"/>
        <v>0</v>
      </c>
      <c r="G1150" s="801">
        <f t="shared" si="68"/>
        <v>0</v>
      </c>
      <c r="H1150" s="801">
        <f t="shared" si="69"/>
        <v>0</v>
      </c>
      <c r="I1150" s="802">
        <f t="shared" si="70"/>
        <v>0</v>
      </c>
      <c r="J1150" s="792"/>
      <c r="K1150" s="813"/>
      <c r="L1150" s="803"/>
      <c r="M1150" s="813"/>
      <c r="N1150" s="803"/>
      <c r="O1150" s="803"/>
    </row>
    <row r="1151" spans="3:15">
      <c r="C1151" s="736" t="s">
        <v>83</v>
      </c>
      <c r="D1151" s="730"/>
      <c r="E1151" s="730">
        <f>SUM(E1091:E1150)</f>
        <v>21060258</v>
      </c>
      <c r="F1151" s="730"/>
      <c r="G1151" s="730">
        <f>SUM(G1091:G1150)</f>
        <v>77361085.874047384</v>
      </c>
      <c r="H1151" s="730">
        <f>SUM(H1091:H1150)</f>
        <v>77361085.874047384</v>
      </c>
      <c r="I1151" s="730">
        <f>SUM(I1091:I1150)</f>
        <v>0</v>
      </c>
      <c r="J1151" s="730"/>
      <c r="K1151" s="730"/>
      <c r="L1151" s="730"/>
      <c r="M1151" s="730"/>
      <c r="N1151" s="730"/>
      <c r="O1151" s="313"/>
    </row>
    <row r="1152" spans="3:15">
      <c r="D1152" s="538"/>
      <c r="E1152" s="313"/>
      <c r="F1152" s="313"/>
      <c r="G1152" s="313"/>
      <c r="H1152" s="708"/>
      <c r="I1152" s="708"/>
      <c r="J1152" s="730"/>
      <c r="K1152" s="708"/>
      <c r="L1152" s="708"/>
      <c r="M1152" s="708"/>
      <c r="N1152" s="708"/>
      <c r="O1152" s="313"/>
    </row>
    <row r="1153" spans="1:16">
      <c r="C1153" s="313" t="s">
        <v>13</v>
      </c>
      <c r="D1153" s="538"/>
      <c r="E1153" s="313"/>
      <c r="F1153" s="313"/>
      <c r="G1153" s="313"/>
      <c r="H1153" s="708"/>
      <c r="I1153" s="708"/>
      <c r="J1153" s="730"/>
      <c r="K1153" s="708"/>
      <c r="L1153" s="708"/>
      <c r="M1153" s="708"/>
      <c r="N1153" s="708"/>
      <c r="O1153" s="313"/>
    </row>
    <row r="1154" spans="1:16">
      <c r="C1154" s="313"/>
      <c r="D1154" s="538"/>
      <c r="E1154" s="313"/>
      <c r="F1154" s="313"/>
      <c r="G1154" s="313"/>
      <c r="H1154" s="708"/>
      <c r="I1154" s="708"/>
      <c r="J1154" s="730"/>
      <c r="K1154" s="708"/>
      <c r="L1154" s="708"/>
      <c r="M1154" s="708"/>
      <c r="N1154" s="708"/>
      <c r="O1154" s="313"/>
    </row>
    <row r="1155" spans="1:16">
      <c r="C1155" s="749" t="s">
        <v>14</v>
      </c>
      <c r="D1155" s="736"/>
      <c r="E1155" s="736"/>
      <c r="F1155" s="736"/>
      <c r="G1155" s="730"/>
      <c r="H1155" s="730"/>
      <c r="I1155" s="804"/>
      <c r="J1155" s="804"/>
      <c r="K1155" s="804"/>
      <c r="L1155" s="804"/>
      <c r="M1155" s="804"/>
      <c r="N1155" s="804"/>
      <c r="O1155" s="313"/>
    </row>
    <row r="1156" spans="1:16">
      <c r="C1156" s="735" t="s">
        <v>263</v>
      </c>
      <c r="D1156" s="736"/>
      <c r="E1156" s="736"/>
      <c r="F1156" s="736"/>
      <c r="G1156" s="730"/>
      <c r="H1156" s="730"/>
      <c r="I1156" s="804"/>
      <c r="J1156" s="804"/>
      <c r="K1156" s="804"/>
      <c r="L1156" s="804"/>
      <c r="M1156" s="804"/>
      <c r="N1156" s="804"/>
      <c r="O1156" s="313"/>
    </row>
    <row r="1157" spans="1:16">
      <c r="C1157" s="735" t="s">
        <v>84</v>
      </c>
      <c r="D1157" s="736"/>
      <c r="E1157" s="736"/>
      <c r="F1157" s="736"/>
      <c r="G1157" s="730"/>
      <c r="H1157" s="730"/>
      <c r="I1157" s="804"/>
      <c r="J1157" s="804"/>
      <c r="K1157" s="804"/>
      <c r="L1157" s="804"/>
      <c r="M1157" s="804"/>
      <c r="N1157" s="804"/>
      <c r="O1157" s="313"/>
    </row>
    <row r="1158" spans="1:16">
      <c r="C1158" s="735"/>
      <c r="D1158" s="736"/>
      <c r="E1158" s="736"/>
      <c r="F1158" s="736"/>
      <c r="G1158" s="730"/>
      <c r="H1158" s="730"/>
      <c r="I1158" s="804"/>
      <c r="J1158" s="804"/>
      <c r="K1158" s="804"/>
      <c r="L1158" s="804"/>
      <c r="M1158" s="804"/>
      <c r="N1158" s="804"/>
      <c r="O1158" s="313"/>
    </row>
    <row r="1159" spans="1:16">
      <c r="C1159" s="1547" t="s">
        <v>6</v>
      </c>
      <c r="D1159" s="1547"/>
      <c r="E1159" s="1547"/>
      <c r="F1159" s="1547"/>
      <c r="G1159" s="1547"/>
      <c r="H1159" s="1547"/>
      <c r="I1159" s="1547"/>
      <c r="J1159" s="1547"/>
      <c r="K1159" s="1547"/>
      <c r="L1159" s="1547"/>
      <c r="M1159" s="1547"/>
      <c r="N1159" s="1547"/>
      <c r="O1159" s="1547"/>
    </row>
    <row r="1160" spans="1:16">
      <c r="C1160" s="1547"/>
      <c r="D1160" s="1547"/>
      <c r="E1160" s="1547"/>
      <c r="F1160" s="1547"/>
      <c r="G1160" s="1547"/>
      <c r="H1160" s="1547"/>
      <c r="I1160" s="1547"/>
      <c r="J1160" s="1547"/>
      <c r="K1160" s="1547"/>
      <c r="L1160" s="1547"/>
      <c r="M1160" s="1547"/>
      <c r="N1160" s="1547"/>
      <c r="O1160" s="1547"/>
    </row>
    <row r="1161" spans="1:16">
      <c r="C1161" s="735"/>
      <c r="D1161" s="736"/>
      <c r="E1161" s="736"/>
      <c r="F1161" s="736"/>
      <c r="G1161" s="730"/>
      <c r="H1161" s="730"/>
    </row>
    <row r="1162" spans="1:16" ht="20.25">
      <c r="A1162" s="737" t="str">
        <f>""&amp;A1086&amp;" Worksheet J -  ATRR PROJECTED Calculation for PJM Projects Charged to Benefiting Zones"</f>
        <v xml:space="preserve"> Worksheet J -  ATRR PROJECTED Calculation for PJM Projects Charged to Benefiting Zones</v>
      </c>
      <c r="B1162" s="347"/>
      <c r="C1162" s="725"/>
      <c r="D1162" s="538"/>
      <c r="E1162" s="313"/>
      <c r="F1162" s="707"/>
      <c r="G1162" s="313"/>
      <c r="H1162" s="708"/>
      <c r="K1162" s="564"/>
      <c r="L1162" s="564"/>
      <c r="M1162" s="564"/>
      <c r="N1162" s="653" t="str">
        <f>"Page "&amp;SUM(P$8:P1162)&amp;" of "</f>
        <v xml:space="preserve">Page 14 of </v>
      </c>
      <c r="O1162" s="654">
        <f>COUNT(P$8:P$56653)</f>
        <v>23</v>
      </c>
      <c r="P1162" s="172">
        <v>1</v>
      </c>
    </row>
    <row r="1163" spans="1:16">
      <c r="B1163" s="347"/>
      <c r="C1163" s="313"/>
      <c r="D1163" s="538"/>
      <c r="E1163" s="313"/>
      <c r="F1163" s="313"/>
      <c r="G1163" s="313"/>
      <c r="H1163" s="708"/>
      <c r="I1163" s="313"/>
      <c r="J1163" s="426"/>
      <c r="K1163" s="313"/>
      <c r="L1163" s="313"/>
      <c r="M1163" s="313"/>
      <c r="N1163" s="313"/>
      <c r="O1163" s="313"/>
    </row>
    <row r="1164" spans="1:16" ht="18">
      <c r="B1164" s="657" t="s">
        <v>466</v>
      </c>
      <c r="C1164" s="739" t="s">
        <v>85</v>
      </c>
      <c r="D1164" s="538"/>
      <c r="E1164" s="313"/>
      <c r="F1164" s="313"/>
      <c r="G1164" s="313"/>
      <c r="H1164" s="708"/>
      <c r="I1164" s="708"/>
      <c r="J1164" s="730"/>
      <c r="K1164" s="708"/>
      <c r="L1164" s="708"/>
      <c r="M1164" s="708"/>
      <c r="N1164" s="708"/>
      <c r="O1164" s="313"/>
    </row>
    <row r="1165" spans="1:16" ht="18.75">
      <c r="B1165" s="657"/>
      <c r="C1165" s="656"/>
      <c r="D1165" s="538"/>
      <c r="E1165" s="313"/>
      <c r="F1165" s="313"/>
      <c r="G1165" s="313"/>
      <c r="H1165" s="708"/>
      <c r="I1165" s="708"/>
      <c r="J1165" s="730"/>
      <c r="K1165" s="708"/>
      <c r="L1165" s="708"/>
      <c r="M1165" s="708"/>
      <c r="N1165" s="708"/>
      <c r="O1165" s="313"/>
    </row>
    <row r="1166" spans="1:16" ht="18.75">
      <c r="B1166" s="657"/>
      <c r="C1166" s="656" t="s">
        <v>86</v>
      </c>
      <c r="D1166" s="538"/>
      <c r="E1166" s="313"/>
      <c r="F1166" s="313"/>
      <c r="G1166" s="313"/>
      <c r="H1166" s="708"/>
      <c r="I1166" s="708"/>
      <c r="J1166" s="730"/>
      <c r="K1166" s="708"/>
      <c r="L1166" s="708"/>
      <c r="M1166" s="708"/>
      <c r="N1166" s="708"/>
      <c r="O1166" s="313"/>
    </row>
    <row r="1167" spans="1:16" ht="15.75" thickBot="1">
      <c r="C1167" s="239"/>
      <c r="D1167" s="538"/>
      <c r="E1167" s="313"/>
      <c r="F1167" s="313"/>
      <c r="G1167" s="313"/>
      <c r="H1167" s="708"/>
      <c r="I1167" s="708"/>
      <c r="J1167" s="730"/>
      <c r="K1167" s="708"/>
      <c r="L1167" s="708"/>
      <c r="M1167" s="708"/>
      <c r="N1167" s="708"/>
      <c r="O1167" s="313"/>
    </row>
    <row r="1168" spans="1:16" ht="15.75">
      <c r="C1168" s="659" t="s">
        <v>87</v>
      </c>
      <c r="D1168" s="538"/>
      <c r="E1168" s="313"/>
      <c r="F1168" s="313"/>
      <c r="G1168" s="806"/>
      <c r="H1168" s="313" t="s">
        <v>66</v>
      </c>
      <c r="I1168" s="313"/>
      <c r="J1168" s="426"/>
      <c r="K1168" s="740" t="s">
        <v>91</v>
      </c>
      <c r="L1168" s="741"/>
      <c r="M1168" s="742"/>
      <c r="N1168" s="743">
        <f>IF(I1174=0,0,VLOOKUP(I1174,C1181:O1240,5))</f>
        <v>517910.90218507091</v>
      </c>
      <c r="O1168" s="313"/>
    </row>
    <row r="1169" spans="2:15" ht="15.75">
      <c r="C1169" s="659"/>
      <c r="D1169" s="538"/>
      <c r="E1169" s="313"/>
      <c r="F1169" s="313"/>
      <c r="G1169" s="313"/>
      <c r="H1169" s="744"/>
      <c r="I1169" s="744"/>
      <c r="J1169" s="745"/>
      <c r="K1169" s="746" t="s">
        <v>92</v>
      </c>
      <c r="L1169" s="747"/>
      <c r="M1169" s="426"/>
      <c r="N1169" s="748">
        <f>IF(I1174=0,0,VLOOKUP(I1174,C1181:O1240,6))</f>
        <v>517910.90218507091</v>
      </c>
      <c r="O1169" s="313"/>
    </row>
    <row r="1170" spans="2:15" ht="13.5" thickBot="1">
      <c r="C1170" s="749" t="s">
        <v>88</v>
      </c>
      <c r="D1170" s="1537" t="s">
        <v>822</v>
      </c>
      <c r="E1170" s="1537"/>
      <c r="F1170" s="1537"/>
      <c r="G1170" s="1537"/>
      <c r="H1170" s="1537"/>
      <c r="I1170" s="1537"/>
      <c r="J1170" s="730"/>
      <c r="K1170" s="750" t="s">
        <v>230</v>
      </c>
      <c r="L1170" s="751"/>
      <c r="M1170" s="751"/>
      <c r="N1170" s="752">
        <f>+N1169-N1168</f>
        <v>0</v>
      </c>
      <c r="O1170" s="313"/>
    </row>
    <row r="1171" spans="2:15">
      <c r="C1171" s="753"/>
      <c r="D1171" s="754"/>
      <c r="E1171" s="734"/>
      <c r="F1171" s="734"/>
      <c r="G1171" s="755"/>
      <c r="H1171" s="708"/>
      <c r="I1171" s="708"/>
      <c r="J1171" s="730"/>
      <c r="K1171" s="708"/>
      <c r="L1171" s="708"/>
      <c r="M1171" s="708"/>
      <c r="N1171" s="708"/>
      <c r="O1171" s="313"/>
    </row>
    <row r="1172" spans="2:15" ht="13.5" thickBot="1">
      <c r="C1172" s="756"/>
      <c r="D1172" s="757"/>
      <c r="E1172" s="755"/>
      <c r="F1172" s="755"/>
      <c r="G1172" s="755"/>
      <c r="H1172" s="755"/>
      <c r="I1172" s="755"/>
      <c r="J1172" s="758"/>
      <c r="K1172" s="755"/>
      <c r="L1172" s="755"/>
      <c r="M1172" s="755"/>
      <c r="N1172" s="755"/>
      <c r="O1172" s="347"/>
    </row>
    <row r="1173" spans="2:15" ht="13.5" thickBot="1">
      <c r="C1173" s="759" t="s">
        <v>89</v>
      </c>
      <c r="D1173" s="760"/>
      <c r="E1173" s="760"/>
      <c r="F1173" s="760"/>
      <c r="G1173" s="760"/>
      <c r="H1173" s="760"/>
      <c r="I1173" s="761"/>
      <c r="J1173" s="762"/>
      <c r="K1173" s="313"/>
      <c r="L1173" s="313"/>
      <c r="M1173" s="313"/>
      <c r="N1173" s="313"/>
      <c r="O1173" s="763"/>
    </row>
    <row r="1174" spans="2:15" ht="15">
      <c r="C1174" s="764" t="s">
        <v>67</v>
      </c>
      <c r="D1174" s="808">
        <v>3781771</v>
      </c>
      <c r="E1174" s="725" t="s">
        <v>68</v>
      </c>
      <c r="G1174" s="765"/>
      <c r="H1174" s="765"/>
      <c r="I1174" s="766">
        <f>$L$26</f>
        <v>2023</v>
      </c>
      <c r="J1174" s="554"/>
      <c r="K1174" s="1536" t="s">
        <v>239</v>
      </c>
      <c r="L1174" s="1536"/>
      <c r="M1174" s="1536"/>
      <c r="N1174" s="1536"/>
      <c r="O1174" s="1536"/>
    </row>
    <row r="1175" spans="2:15">
      <c r="C1175" s="764" t="s">
        <v>70</v>
      </c>
      <c r="D1175" s="809">
        <v>2014</v>
      </c>
      <c r="E1175" s="764" t="s">
        <v>71</v>
      </c>
      <c r="F1175" s="765"/>
      <c r="H1175" s="172"/>
      <c r="I1175" s="810">
        <f>IF(G1168="",0,$F$17)</f>
        <v>0</v>
      </c>
      <c r="J1175" s="767"/>
      <c r="K1175" s="730" t="s">
        <v>239</v>
      </c>
    </row>
    <row r="1176" spans="2:15">
      <c r="C1176" s="764" t="s">
        <v>72</v>
      </c>
      <c r="D1176" s="808">
        <v>9</v>
      </c>
      <c r="E1176" s="764" t="s">
        <v>73</v>
      </c>
      <c r="F1176" s="765"/>
      <c r="H1176" s="172"/>
      <c r="I1176" s="768">
        <f>$G$70</f>
        <v>0.14450383244078713</v>
      </c>
      <c r="J1176" s="769"/>
      <c r="K1176" s="172" t="str">
        <f>"          INPUT PROJECTED ARR (WITH &amp; WITHOUT INCENTIVES) FROM EACH PRIOR YEAR"</f>
        <v xml:space="preserve">          INPUT PROJECTED ARR (WITH &amp; WITHOUT INCENTIVES) FROM EACH PRIOR YEAR</v>
      </c>
    </row>
    <row r="1177" spans="2:15">
      <c r="C1177" s="764" t="s">
        <v>74</v>
      </c>
      <c r="D1177" s="770">
        <f>$G$79</f>
        <v>35</v>
      </c>
      <c r="E1177" s="764" t="s">
        <v>75</v>
      </c>
      <c r="F1177" s="765"/>
      <c r="H1177" s="172"/>
      <c r="I1177" s="768">
        <f>IF(G1168="",I1176,$G$69)</f>
        <v>0.14450383244078713</v>
      </c>
      <c r="J1177" s="771"/>
      <c r="K1177" s="172" t="s">
        <v>152</v>
      </c>
    </row>
    <row r="1178" spans="2:15" ht="13.5" thickBot="1">
      <c r="C1178" s="764" t="s">
        <v>76</v>
      </c>
      <c r="D1178" s="807" t="s">
        <v>808</v>
      </c>
      <c r="E1178" s="772" t="s">
        <v>77</v>
      </c>
      <c r="F1178" s="773"/>
      <c r="G1178" s="774"/>
      <c r="H1178" s="774"/>
      <c r="I1178" s="752">
        <f>IF(D1174=0,0,D1174/D1177)</f>
        <v>108050.6</v>
      </c>
      <c r="J1178" s="730"/>
      <c r="K1178" s="730" t="s">
        <v>158</v>
      </c>
      <c r="L1178" s="730"/>
      <c r="M1178" s="730"/>
      <c r="N1178" s="730"/>
      <c r="O1178" s="426"/>
    </row>
    <row r="1179" spans="2:15" ht="38.25">
      <c r="B1179" s="845"/>
      <c r="C1179" s="775" t="s">
        <v>67</v>
      </c>
      <c r="D1179" s="776" t="s">
        <v>78</v>
      </c>
      <c r="E1179" s="777" t="s">
        <v>79</v>
      </c>
      <c r="F1179" s="776" t="s">
        <v>80</v>
      </c>
      <c r="G1179" s="777" t="s">
        <v>151</v>
      </c>
      <c r="H1179" s="778" t="s">
        <v>151</v>
      </c>
      <c r="I1179" s="775" t="s">
        <v>90</v>
      </c>
      <c r="J1179" s="779"/>
      <c r="K1179" s="777" t="s">
        <v>160</v>
      </c>
      <c r="L1179" s="780"/>
      <c r="M1179" s="777" t="s">
        <v>160</v>
      </c>
      <c r="N1179" s="780"/>
      <c r="O1179" s="780"/>
    </row>
    <row r="1180" spans="2:15" ht="13.5" thickBot="1">
      <c r="C1180" s="781" t="s">
        <v>469</v>
      </c>
      <c r="D1180" s="782" t="s">
        <v>470</v>
      </c>
      <c r="E1180" s="781" t="s">
        <v>363</v>
      </c>
      <c r="F1180" s="782" t="s">
        <v>470</v>
      </c>
      <c r="G1180" s="783" t="s">
        <v>93</v>
      </c>
      <c r="H1180" s="784" t="s">
        <v>95</v>
      </c>
      <c r="I1180" s="785" t="s">
        <v>15</v>
      </c>
      <c r="J1180" s="786"/>
      <c r="K1180" s="783" t="s">
        <v>82</v>
      </c>
      <c r="L1180" s="787"/>
      <c r="M1180" s="783" t="s">
        <v>95</v>
      </c>
      <c r="N1180" s="787"/>
      <c r="O1180" s="787"/>
    </row>
    <row r="1181" spans="2:15">
      <c r="C1181" s="788">
        <f>IF(D1175= "","-",D1175)</f>
        <v>2014</v>
      </c>
      <c r="D1181" s="736">
        <f>+D1174</f>
        <v>3781771</v>
      </c>
      <c r="E1181" s="789">
        <f>+I1178/12*(12-D1176)</f>
        <v>27012.65</v>
      </c>
      <c r="F1181" s="736">
        <f>+D1181-E1181</f>
        <v>3754758.35</v>
      </c>
      <c r="G1181" s="985">
        <f>+$I$96*((D1181+F1181)/2)+E1181</f>
        <v>571541.33718873712</v>
      </c>
      <c r="H1181" s="986">
        <f>$I$97*((D1181+F1181)/2)+E1181</f>
        <v>571541.33718873712</v>
      </c>
      <c r="I1181" s="792">
        <f>+H1181-G1181</f>
        <v>0</v>
      </c>
      <c r="J1181" s="792"/>
      <c r="K1181" s="1314">
        <v>2808368</v>
      </c>
      <c r="L1181" s="793"/>
      <c r="M1181" s="1314">
        <v>2808368</v>
      </c>
      <c r="N1181" s="793"/>
      <c r="O1181" s="793"/>
    </row>
    <row r="1182" spans="2:15">
      <c r="C1182" s="788">
        <f>IF(D1175="","-",+C1181+1)</f>
        <v>2015</v>
      </c>
      <c r="D1182" s="736">
        <f t="shared" ref="D1182:D1240" si="72">F1181</f>
        <v>3754758.35</v>
      </c>
      <c r="E1182" s="789">
        <f>IF(D1182&gt;$I$1178,$I$1178,D1182)</f>
        <v>108050.6</v>
      </c>
      <c r="F1182" s="736">
        <f t="shared" ref="F1182:F1240" si="73">+D1182-E1182</f>
        <v>3646707.75</v>
      </c>
      <c r="G1182" s="794">
        <f t="shared" ref="G1182:G1240" si="74">+$I$96*((D1182+F1182)/2)+E1182</f>
        <v>642820.70856528298</v>
      </c>
      <c r="H1182" s="795">
        <f t="shared" ref="H1182:H1240" si="75">$I$97*((D1182+F1182)/2)+E1182</f>
        <v>642820.70856528298</v>
      </c>
      <c r="I1182" s="792">
        <f t="shared" ref="I1182:I1240" si="76">+H1182-G1182</f>
        <v>0</v>
      </c>
      <c r="J1182" s="792"/>
      <c r="K1182" s="1313">
        <v>492192</v>
      </c>
      <c r="L1182" s="796"/>
      <c r="M1182" s="1313">
        <v>492192</v>
      </c>
      <c r="N1182" s="796"/>
      <c r="O1182" s="796"/>
    </row>
    <row r="1183" spans="2:15">
      <c r="C1183" s="788">
        <f>IF(D1175="","-",+C1182+1)</f>
        <v>2016</v>
      </c>
      <c r="D1183" s="736">
        <f t="shared" si="72"/>
        <v>3646707.75</v>
      </c>
      <c r="E1183" s="789">
        <f t="shared" ref="E1183:E1240" si="77">IF(D1183&gt;$I$1178,$I$1178,D1183)</f>
        <v>108050.6</v>
      </c>
      <c r="F1183" s="736">
        <f t="shared" si="73"/>
        <v>3538657.15</v>
      </c>
      <c r="G1183" s="794">
        <f t="shared" si="74"/>
        <v>627206.98276775656</v>
      </c>
      <c r="H1183" s="795">
        <f t="shared" si="75"/>
        <v>627206.98276775656</v>
      </c>
      <c r="I1183" s="792">
        <f t="shared" si="76"/>
        <v>0</v>
      </c>
      <c r="J1183" s="792"/>
      <c r="K1183" s="1313">
        <v>539236</v>
      </c>
      <c r="L1183" s="796"/>
      <c r="M1183" s="1313">
        <v>539236</v>
      </c>
      <c r="N1183" s="796"/>
      <c r="O1183" s="796"/>
    </row>
    <row r="1184" spans="2:15">
      <c r="C1184" s="788">
        <f>IF(D1175="","-",+C1183+1)</f>
        <v>2017</v>
      </c>
      <c r="D1184" s="736">
        <f t="shared" si="72"/>
        <v>3538657.15</v>
      </c>
      <c r="E1184" s="789">
        <f t="shared" si="77"/>
        <v>108050.6</v>
      </c>
      <c r="F1184" s="736">
        <f t="shared" si="73"/>
        <v>3430606.55</v>
      </c>
      <c r="G1184" s="794">
        <f t="shared" si="74"/>
        <v>611593.25697023002</v>
      </c>
      <c r="H1184" s="795">
        <f t="shared" si="75"/>
        <v>611593.25697023002</v>
      </c>
      <c r="I1184" s="792">
        <f t="shared" si="76"/>
        <v>0</v>
      </c>
      <c r="J1184" s="792"/>
      <c r="K1184" s="812">
        <v>646665</v>
      </c>
      <c r="L1184" s="796"/>
      <c r="M1184" s="812">
        <v>646665</v>
      </c>
      <c r="N1184" s="796"/>
      <c r="O1184" s="796"/>
    </row>
    <row r="1185" spans="3:15">
      <c r="C1185" s="788">
        <f>IF(D1175="","-",+C1184+1)</f>
        <v>2018</v>
      </c>
      <c r="D1185" s="736">
        <f t="shared" si="72"/>
        <v>3430606.55</v>
      </c>
      <c r="E1185" s="789">
        <f t="shared" si="77"/>
        <v>108050.6</v>
      </c>
      <c r="F1185" s="736">
        <f t="shared" si="73"/>
        <v>3322555.9499999997</v>
      </c>
      <c r="G1185" s="794">
        <f t="shared" si="74"/>
        <v>595979.5311727036</v>
      </c>
      <c r="H1185" s="795">
        <f t="shared" si="75"/>
        <v>595979.5311727036</v>
      </c>
      <c r="I1185" s="792">
        <f t="shared" si="76"/>
        <v>0</v>
      </c>
      <c r="J1185" s="792"/>
      <c r="K1185" s="812">
        <v>574858</v>
      </c>
      <c r="L1185" s="796"/>
      <c r="M1185" s="812">
        <v>574858</v>
      </c>
      <c r="N1185" s="796"/>
      <c r="O1185" s="796"/>
    </row>
    <row r="1186" spans="3:15">
      <c r="C1186" s="1290">
        <f>IF(D1175="","-",+C1185+1)</f>
        <v>2019</v>
      </c>
      <c r="D1186" s="736">
        <f t="shared" si="72"/>
        <v>3322555.9499999997</v>
      </c>
      <c r="E1186" s="789">
        <f t="shared" si="77"/>
        <v>108050.6</v>
      </c>
      <c r="F1186" s="736">
        <f t="shared" si="73"/>
        <v>3214505.3499999996</v>
      </c>
      <c r="G1186" s="794">
        <f t="shared" si="74"/>
        <v>580365.80537517695</v>
      </c>
      <c r="H1186" s="795">
        <f t="shared" si="75"/>
        <v>580365.80537517695</v>
      </c>
      <c r="I1186" s="792">
        <f t="shared" si="76"/>
        <v>0</v>
      </c>
      <c r="J1186" s="792"/>
      <c r="K1186" s="812"/>
      <c r="L1186" s="796"/>
      <c r="M1186" s="812"/>
      <c r="N1186" s="796"/>
      <c r="O1186" s="796"/>
    </row>
    <row r="1187" spans="3:15">
      <c r="C1187" s="788">
        <f>IF(D1175="","-",+C1186+1)</f>
        <v>2020</v>
      </c>
      <c r="D1187" s="736">
        <f t="shared" si="72"/>
        <v>3214505.3499999996</v>
      </c>
      <c r="E1187" s="789">
        <f t="shared" si="77"/>
        <v>108050.6</v>
      </c>
      <c r="F1187" s="736">
        <f t="shared" si="73"/>
        <v>3106454.7499999995</v>
      </c>
      <c r="G1187" s="794">
        <f t="shared" si="74"/>
        <v>564752.07957765053</v>
      </c>
      <c r="H1187" s="795">
        <f t="shared" si="75"/>
        <v>564752.07957765053</v>
      </c>
      <c r="I1187" s="792">
        <f t="shared" si="76"/>
        <v>0</v>
      </c>
      <c r="J1187" s="792"/>
      <c r="K1187" s="812"/>
      <c r="L1187" s="796"/>
      <c r="M1187" s="812"/>
      <c r="N1187" s="796"/>
      <c r="O1187" s="796"/>
    </row>
    <row r="1188" spans="3:15">
      <c r="C1188" s="788">
        <f>IF(D1175="","-",+C1187+1)</f>
        <v>2021</v>
      </c>
      <c r="D1188" s="736">
        <f t="shared" si="72"/>
        <v>3106454.7499999995</v>
      </c>
      <c r="E1188" s="789">
        <f t="shared" si="77"/>
        <v>108050.6</v>
      </c>
      <c r="F1188" s="736">
        <f t="shared" si="73"/>
        <v>2998404.1499999994</v>
      </c>
      <c r="G1188" s="794">
        <f t="shared" si="74"/>
        <v>549138.35378012387</v>
      </c>
      <c r="H1188" s="795">
        <f t="shared" si="75"/>
        <v>549138.35378012387</v>
      </c>
      <c r="I1188" s="792">
        <f t="shared" si="76"/>
        <v>0</v>
      </c>
      <c r="J1188" s="792"/>
      <c r="K1188" s="812"/>
      <c r="L1188" s="796"/>
      <c r="M1188" s="812"/>
      <c r="N1188" s="796"/>
      <c r="O1188" s="796"/>
    </row>
    <row r="1189" spans="3:15">
      <c r="C1189" s="788">
        <f>IF(D1175="","-",+C1188+1)</f>
        <v>2022</v>
      </c>
      <c r="D1189" s="736">
        <f t="shared" si="72"/>
        <v>2998404.1499999994</v>
      </c>
      <c r="E1189" s="789">
        <f t="shared" si="77"/>
        <v>108050.6</v>
      </c>
      <c r="F1189" s="736">
        <f t="shared" si="73"/>
        <v>2890353.5499999993</v>
      </c>
      <c r="G1189" s="794">
        <f t="shared" si="74"/>
        <v>533524.62798259745</v>
      </c>
      <c r="H1189" s="795">
        <f t="shared" si="75"/>
        <v>533524.62798259745</v>
      </c>
      <c r="I1189" s="792">
        <f t="shared" si="76"/>
        <v>0</v>
      </c>
      <c r="J1189" s="792"/>
      <c r="K1189" s="812"/>
      <c r="L1189" s="796"/>
      <c r="M1189" s="812"/>
      <c r="N1189" s="796"/>
      <c r="O1189" s="796"/>
    </row>
    <row r="1190" spans="3:15">
      <c r="C1190" s="788">
        <f>IF(D1175="","-",+C1189+1)</f>
        <v>2023</v>
      </c>
      <c r="D1190" s="736">
        <f t="shared" si="72"/>
        <v>2890353.5499999993</v>
      </c>
      <c r="E1190" s="789">
        <f t="shared" si="77"/>
        <v>108050.6</v>
      </c>
      <c r="F1190" s="736">
        <f t="shared" si="73"/>
        <v>2782302.9499999993</v>
      </c>
      <c r="G1190" s="794">
        <f t="shared" si="74"/>
        <v>517910.90218507091</v>
      </c>
      <c r="H1190" s="795">
        <f t="shared" si="75"/>
        <v>517910.90218507091</v>
      </c>
      <c r="I1190" s="792">
        <f t="shared" si="76"/>
        <v>0</v>
      </c>
      <c r="J1190" s="792"/>
      <c r="K1190" s="812"/>
      <c r="L1190" s="796"/>
      <c r="M1190" s="812"/>
      <c r="N1190" s="796"/>
      <c r="O1190" s="796"/>
    </row>
    <row r="1191" spans="3:15">
      <c r="C1191" s="788">
        <f>IF(D1175="","-",+C1190+1)</f>
        <v>2024</v>
      </c>
      <c r="D1191" s="736">
        <f t="shared" si="72"/>
        <v>2782302.9499999993</v>
      </c>
      <c r="E1191" s="789">
        <f t="shared" si="77"/>
        <v>108050.6</v>
      </c>
      <c r="F1191" s="736">
        <f t="shared" si="73"/>
        <v>2674252.3499999992</v>
      </c>
      <c r="G1191" s="794">
        <f t="shared" si="74"/>
        <v>502297.17638754437</v>
      </c>
      <c r="H1191" s="795">
        <f t="shared" si="75"/>
        <v>502297.17638754437</v>
      </c>
      <c r="I1191" s="792">
        <f t="shared" si="76"/>
        <v>0</v>
      </c>
      <c r="J1191" s="792"/>
      <c r="K1191" s="812"/>
      <c r="L1191" s="796"/>
      <c r="M1191" s="812"/>
      <c r="N1191" s="796"/>
      <c r="O1191" s="796"/>
    </row>
    <row r="1192" spans="3:15">
      <c r="C1192" s="788">
        <f>IF(D1175="","-",+C1191+1)</f>
        <v>2025</v>
      </c>
      <c r="D1192" s="736">
        <f t="shared" si="72"/>
        <v>2674252.3499999992</v>
      </c>
      <c r="E1192" s="789">
        <f t="shared" si="77"/>
        <v>108050.6</v>
      </c>
      <c r="F1192" s="736">
        <f t="shared" si="73"/>
        <v>2566201.7499999991</v>
      </c>
      <c r="G1192" s="794">
        <f t="shared" si="74"/>
        <v>486683.45059001783</v>
      </c>
      <c r="H1192" s="795">
        <f t="shared" si="75"/>
        <v>486683.45059001783</v>
      </c>
      <c r="I1192" s="792">
        <f t="shared" si="76"/>
        <v>0</v>
      </c>
      <c r="J1192" s="792"/>
      <c r="K1192" s="812"/>
      <c r="L1192" s="796"/>
      <c r="M1192" s="812"/>
      <c r="N1192" s="796"/>
      <c r="O1192" s="796"/>
    </row>
    <row r="1193" spans="3:15">
      <c r="C1193" s="788">
        <f>IF(D1175="","-",+C1192+1)</f>
        <v>2026</v>
      </c>
      <c r="D1193" s="736">
        <f t="shared" si="72"/>
        <v>2566201.7499999991</v>
      </c>
      <c r="E1193" s="789">
        <f t="shared" si="77"/>
        <v>108050.6</v>
      </c>
      <c r="F1193" s="736">
        <f t="shared" si="73"/>
        <v>2458151.149999999</v>
      </c>
      <c r="G1193" s="794">
        <f t="shared" si="74"/>
        <v>471069.7247924913</v>
      </c>
      <c r="H1193" s="795">
        <f t="shared" si="75"/>
        <v>471069.7247924913</v>
      </c>
      <c r="I1193" s="792">
        <f t="shared" si="76"/>
        <v>0</v>
      </c>
      <c r="J1193" s="792"/>
      <c r="K1193" s="812"/>
      <c r="L1193" s="796"/>
      <c r="M1193" s="812"/>
      <c r="N1193" s="797"/>
      <c r="O1193" s="796"/>
    </row>
    <row r="1194" spans="3:15">
      <c r="C1194" s="788">
        <f>IF(D1175="","-",+C1193+1)</f>
        <v>2027</v>
      </c>
      <c r="D1194" s="736">
        <f t="shared" si="72"/>
        <v>2458151.149999999</v>
      </c>
      <c r="E1194" s="789">
        <f t="shared" si="77"/>
        <v>108050.6</v>
      </c>
      <c r="F1194" s="736">
        <f t="shared" si="73"/>
        <v>2350100.5499999989</v>
      </c>
      <c r="G1194" s="794">
        <f t="shared" si="74"/>
        <v>455455.99899496476</v>
      </c>
      <c r="H1194" s="795">
        <f t="shared" si="75"/>
        <v>455455.99899496476</v>
      </c>
      <c r="I1194" s="792">
        <f t="shared" si="76"/>
        <v>0</v>
      </c>
      <c r="J1194" s="792"/>
      <c r="K1194" s="812"/>
      <c r="L1194" s="796"/>
      <c r="M1194" s="812"/>
      <c r="N1194" s="796"/>
      <c r="O1194" s="796"/>
    </row>
    <row r="1195" spans="3:15">
      <c r="C1195" s="788">
        <f>IF(D1175="","-",+C1194+1)</f>
        <v>2028</v>
      </c>
      <c r="D1195" s="736">
        <f t="shared" si="72"/>
        <v>2350100.5499999989</v>
      </c>
      <c r="E1195" s="789">
        <f t="shared" si="77"/>
        <v>108050.6</v>
      </c>
      <c r="F1195" s="736">
        <f t="shared" si="73"/>
        <v>2242049.9499999988</v>
      </c>
      <c r="G1195" s="794">
        <f t="shared" si="74"/>
        <v>439842.27319743834</v>
      </c>
      <c r="H1195" s="795">
        <f t="shared" si="75"/>
        <v>439842.27319743834</v>
      </c>
      <c r="I1195" s="792">
        <f t="shared" si="76"/>
        <v>0</v>
      </c>
      <c r="J1195" s="792"/>
      <c r="K1195" s="812"/>
      <c r="L1195" s="796"/>
      <c r="M1195" s="812"/>
      <c r="N1195" s="796"/>
      <c r="O1195" s="796"/>
    </row>
    <row r="1196" spans="3:15">
      <c r="C1196" s="788">
        <f>IF(D1175="","-",+C1195+1)</f>
        <v>2029</v>
      </c>
      <c r="D1196" s="736">
        <f t="shared" si="72"/>
        <v>2242049.9499999988</v>
      </c>
      <c r="E1196" s="789">
        <f t="shared" si="77"/>
        <v>108050.6</v>
      </c>
      <c r="F1196" s="736">
        <f t="shared" si="73"/>
        <v>2133999.3499999987</v>
      </c>
      <c r="G1196" s="794">
        <f t="shared" si="74"/>
        <v>424228.54739991168</v>
      </c>
      <c r="H1196" s="795">
        <f t="shared" si="75"/>
        <v>424228.54739991168</v>
      </c>
      <c r="I1196" s="792">
        <f t="shared" si="76"/>
        <v>0</v>
      </c>
      <c r="J1196" s="792"/>
      <c r="K1196" s="812"/>
      <c r="L1196" s="796"/>
      <c r="M1196" s="812"/>
      <c r="N1196" s="796"/>
      <c r="O1196" s="796"/>
    </row>
    <row r="1197" spans="3:15">
      <c r="C1197" s="788">
        <f>IF(D1175="","-",+C1196+1)</f>
        <v>2030</v>
      </c>
      <c r="D1197" s="736">
        <f t="shared" si="72"/>
        <v>2133999.3499999987</v>
      </c>
      <c r="E1197" s="789">
        <f t="shared" si="77"/>
        <v>108050.6</v>
      </c>
      <c r="F1197" s="736">
        <f t="shared" si="73"/>
        <v>2025948.7499999986</v>
      </c>
      <c r="G1197" s="794">
        <f t="shared" si="74"/>
        <v>408614.82160238514</v>
      </c>
      <c r="H1197" s="795">
        <f t="shared" si="75"/>
        <v>408614.82160238514</v>
      </c>
      <c r="I1197" s="792">
        <f t="shared" si="76"/>
        <v>0</v>
      </c>
      <c r="J1197" s="792"/>
      <c r="K1197" s="812"/>
      <c r="L1197" s="796"/>
      <c r="M1197" s="812"/>
      <c r="N1197" s="796"/>
      <c r="O1197" s="796"/>
    </row>
    <row r="1198" spans="3:15">
      <c r="C1198" s="788">
        <f>IF(D1175="","-",+C1197+1)</f>
        <v>2031</v>
      </c>
      <c r="D1198" s="736">
        <f t="shared" si="72"/>
        <v>2025948.7499999986</v>
      </c>
      <c r="E1198" s="789">
        <f t="shared" si="77"/>
        <v>108050.6</v>
      </c>
      <c r="F1198" s="736">
        <f t="shared" si="73"/>
        <v>1917898.1499999985</v>
      </c>
      <c r="G1198" s="794">
        <f t="shared" si="74"/>
        <v>393001.09580485872</v>
      </c>
      <c r="H1198" s="795">
        <f t="shared" si="75"/>
        <v>393001.09580485872</v>
      </c>
      <c r="I1198" s="792">
        <f t="shared" si="76"/>
        <v>0</v>
      </c>
      <c r="J1198" s="792"/>
      <c r="K1198" s="812"/>
      <c r="L1198" s="796"/>
      <c r="M1198" s="812"/>
      <c r="N1198" s="796"/>
      <c r="O1198" s="796"/>
    </row>
    <row r="1199" spans="3:15">
      <c r="C1199" s="788">
        <f>IF(D1175="","-",+C1198+1)</f>
        <v>2032</v>
      </c>
      <c r="D1199" s="736">
        <f t="shared" si="72"/>
        <v>1917898.1499999985</v>
      </c>
      <c r="E1199" s="789">
        <f t="shared" si="77"/>
        <v>108050.6</v>
      </c>
      <c r="F1199" s="736">
        <f t="shared" si="73"/>
        <v>1809847.5499999984</v>
      </c>
      <c r="G1199" s="794">
        <f t="shared" si="74"/>
        <v>377387.37000733218</v>
      </c>
      <c r="H1199" s="795">
        <f t="shared" si="75"/>
        <v>377387.37000733218</v>
      </c>
      <c r="I1199" s="792">
        <f t="shared" si="76"/>
        <v>0</v>
      </c>
      <c r="J1199" s="792"/>
      <c r="K1199" s="812"/>
      <c r="L1199" s="796"/>
      <c r="M1199" s="812"/>
      <c r="N1199" s="796"/>
      <c r="O1199" s="796"/>
    </row>
    <row r="1200" spans="3:15">
      <c r="C1200" s="788">
        <f>IF(D1175="","-",+C1199+1)</f>
        <v>2033</v>
      </c>
      <c r="D1200" s="736">
        <f t="shared" si="72"/>
        <v>1809847.5499999984</v>
      </c>
      <c r="E1200" s="789">
        <f t="shared" si="77"/>
        <v>108050.6</v>
      </c>
      <c r="F1200" s="736">
        <f t="shared" si="73"/>
        <v>1701796.9499999983</v>
      </c>
      <c r="G1200" s="794">
        <f t="shared" si="74"/>
        <v>361773.64420980564</v>
      </c>
      <c r="H1200" s="795">
        <f t="shared" si="75"/>
        <v>361773.64420980564</v>
      </c>
      <c r="I1200" s="792">
        <f t="shared" si="76"/>
        <v>0</v>
      </c>
      <c r="J1200" s="792"/>
      <c r="K1200" s="812"/>
      <c r="L1200" s="796"/>
      <c r="M1200" s="812"/>
      <c r="N1200" s="796"/>
      <c r="O1200" s="796"/>
    </row>
    <row r="1201" spans="3:15">
      <c r="C1201" s="788">
        <f>IF(D1175="","-",+C1200+1)</f>
        <v>2034</v>
      </c>
      <c r="D1201" s="736">
        <f t="shared" si="72"/>
        <v>1701796.9499999983</v>
      </c>
      <c r="E1201" s="789">
        <f t="shared" si="77"/>
        <v>108050.6</v>
      </c>
      <c r="F1201" s="736">
        <f t="shared" si="73"/>
        <v>1593746.3499999982</v>
      </c>
      <c r="G1201" s="794">
        <f t="shared" si="74"/>
        <v>346159.9184122791</v>
      </c>
      <c r="H1201" s="795">
        <f t="shared" si="75"/>
        <v>346159.9184122791</v>
      </c>
      <c r="I1201" s="792">
        <f t="shared" si="76"/>
        <v>0</v>
      </c>
      <c r="J1201" s="792"/>
      <c r="K1201" s="812"/>
      <c r="L1201" s="796"/>
      <c r="M1201" s="812"/>
      <c r="N1201" s="796"/>
      <c r="O1201" s="796"/>
    </row>
    <row r="1202" spans="3:15">
      <c r="C1202" s="788">
        <f>IF(D1175="","-",+C1201+1)</f>
        <v>2035</v>
      </c>
      <c r="D1202" s="736">
        <f t="shared" si="72"/>
        <v>1593746.3499999982</v>
      </c>
      <c r="E1202" s="789">
        <f t="shared" si="77"/>
        <v>108050.6</v>
      </c>
      <c r="F1202" s="736">
        <f t="shared" si="73"/>
        <v>1485695.7499999981</v>
      </c>
      <c r="G1202" s="794">
        <f t="shared" si="74"/>
        <v>330546.19261475257</v>
      </c>
      <c r="H1202" s="795">
        <f t="shared" si="75"/>
        <v>330546.19261475257</v>
      </c>
      <c r="I1202" s="792">
        <f t="shared" si="76"/>
        <v>0</v>
      </c>
      <c r="J1202" s="792"/>
      <c r="K1202" s="812"/>
      <c r="L1202" s="796"/>
      <c r="M1202" s="812"/>
      <c r="N1202" s="796"/>
      <c r="O1202" s="796"/>
    </row>
    <row r="1203" spans="3:15">
      <c r="C1203" s="788">
        <f>IF(D1175="","-",+C1202+1)</f>
        <v>2036</v>
      </c>
      <c r="D1203" s="736">
        <f t="shared" si="72"/>
        <v>1485695.7499999981</v>
      </c>
      <c r="E1203" s="789">
        <f t="shared" si="77"/>
        <v>108050.6</v>
      </c>
      <c r="F1203" s="736">
        <f t="shared" si="73"/>
        <v>1377645.149999998</v>
      </c>
      <c r="G1203" s="794">
        <f t="shared" si="74"/>
        <v>314932.46681722603</v>
      </c>
      <c r="H1203" s="795">
        <f t="shared" si="75"/>
        <v>314932.46681722603</v>
      </c>
      <c r="I1203" s="792">
        <f t="shared" si="76"/>
        <v>0</v>
      </c>
      <c r="J1203" s="792"/>
      <c r="K1203" s="812"/>
      <c r="L1203" s="796"/>
      <c r="M1203" s="812"/>
      <c r="N1203" s="796"/>
      <c r="O1203" s="796"/>
    </row>
    <row r="1204" spans="3:15">
      <c r="C1204" s="788">
        <f>IF(D1175="","-",+C1203+1)</f>
        <v>2037</v>
      </c>
      <c r="D1204" s="736">
        <f t="shared" si="72"/>
        <v>1377645.149999998</v>
      </c>
      <c r="E1204" s="789">
        <f t="shared" si="77"/>
        <v>108050.6</v>
      </c>
      <c r="F1204" s="736">
        <f t="shared" si="73"/>
        <v>1269594.549999998</v>
      </c>
      <c r="G1204" s="794">
        <f t="shared" si="74"/>
        <v>299318.74101969949</v>
      </c>
      <c r="H1204" s="795">
        <f t="shared" si="75"/>
        <v>299318.74101969949</v>
      </c>
      <c r="I1204" s="792">
        <f t="shared" si="76"/>
        <v>0</v>
      </c>
      <c r="J1204" s="792"/>
      <c r="K1204" s="812"/>
      <c r="L1204" s="796"/>
      <c r="M1204" s="812"/>
      <c r="N1204" s="796"/>
      <c r="O1204" s="796"/>
    </row>
    <row r="1205" spans="3:15">
      <c r="C1205" s="788">
        <f>IF(D1175="","-",+C1204+1)</f>
        <v>2038</v>
      </c>
      <c r="D1205" s="736">
        <f t="shared" si="72"/>
        <v>1269594.549999998</v>
      </c>
      <c r="E1205" s="789">
        <f t="shared" si="77"/>
        <v>108050.6</v>
      </c>
      <c r="F1205" s="736">
        <f t="shared" si="73"/>
        <v>1161543.9499999979</v>
      </c>
      <c r="G1205" s="794">
        <f t="shared" si="74"/>
        <v>283705.01522217295</v>
      </c>
      <c r="H1205" s="795">
        <f t="shared" si="75"/>
        <v>283705.01522217295</v>
      </c>
      <c r="I1205" s="792">
        <f t="shared" si="76"/>
        <v>0</v>
      </c>
      <c r="J1205" s="792"/>
      <c r="K1205" s="812"/>
      <c r="L1205" s="796"/>
      <c r="M1205" s="812"/>
      <c r="N1205" s="796"/>
      <c r="O1205" s="796"/>
    </row>
    <row r="1206" spans="3:15">
      <c r="C1206" s="788">
        <f>IF(D1175="","-",+C1205+1)</f>
        <v>2039</v>
      </c>
      <c r="D1206" s="736">
        <f t="shared" si="72"/>
        <v>1161543.9499999979</v>
      </c>
      <c r="E1206" s="789">
        <f t="shared" si="77"/>
        <v>108050.6</v>
      </c>
      <c r="F1206" s="736">
        <f t="shared" si="73"/>
        <v>1053493.3499999978</v>
      </c>
      <c r="G1206" s="794">
        <f t="shared" si="74"/>
        <v>268091.28942464641</v>
      </c>
      <c r="H1206" s="795">
        <f t="shared" si="75"/>
        <v>268091.28942464641</v>
      </c>
      <c r="I1206" s="792">
        <f t="shared" si="76"/>
        <v>0</v>
      </c>
      <c r="J1206" s="792"/>
      <c r="K1206" s="812"/>
      <c r="L1206" s="796"/>
      <c r="M1206" s="812"/>
      <c r="N1206" s="796"/>
      <c r="O1206" s="796"/>
    </row>
    <row r="1207" spans="3:15">
      <c r="C1207" s="788">
        <f>IF(D1175="","-",+C1206+1)</f>
        <v>2040</v>
      </c>
      <c r="D1207" s="736">
        <f t="shared" si="72"/>
        <v>1053493.3499999978</v>
      </c>
      <c r="E1207" s="789">
        <f t="shared" si="77"/>
        <v>108050.6</v>
      </c>
      <c r="F1207" s="736">
        <f t="shared" si="73"/>
        <v>945442.74999999779</v>
      </c>
      <c r="G1207" s="794">
        <f t="shared" si="74"/>
        <v>252477.56362711993</v>
      </c>
      <c r="H1207" s="795">
        <f t="shared" si="75"/>
        <v>252477.56362711993</v>
      </c>
      <c r="I1207" s="792">
        <f t="shared" si="76"/>
        <v>0</v>
      </c>
      <c r="J1207" s="792"/>
      <c r="K1207" s="812"/>
      <c r="L1207" s="796"/>
      <c r="M1207" s="812"/>
      <c r="N1207" s="796"/>
      <c r="O1207" s="796"/>
    </row>
    <row r="1208" spans="3:15">
      <c r="C1208" s="788">
        <f>IF(D1175="","-",+C1207+1)</f>
        <v>2041</v>
      </c>
      <c r="D1208" s="736">
        <f t="shared" si="72"/>
        <v>945442.74999999779</v>
      </c>
      <c r="E1208" s="789">
        <f t="shared" si="77"/>
        <v>108050.6</v>
      </c>
      <c r="F1208" s="736">
        <f t="shared" si="73"/>
        <v>837392.14999999781</v>
      </c>
      <c r="G1208" s="794">
        <f t="shared" si="74"/>
        <v>236863.83782959345</v>
      </c>
      <c r="H1208" s="795">
        <f t="shared" si="75"/>
        <v>236863.83782959345</v>
      </c>
      <c r="I1208" s="792">
        <f t="shared" si="76"/>
        <v>0</v>
      </c>
      <c r="J1208" s="792"/>
      <c r="K1208" s="812"/>
      <c r="L1208" s="796"/>
      <c r="M1208" s="812"/>
      <c r="N1208" s="796"/>
      <c r="O1208" s="796"/>
    </row>
    <row r="1209" spans="3:15">
      <c r="C1209" s="788">
        <f>IF(D1175="","-",+C1208+1)</f>
        <v>2042</v>
      </c>
      <c r="D1209" s="736">
        <f t="shared" si="72"/>
        <v>837392.14999999781</v>
      </c>
      <c r="E1209" s="789">
        <f t="shared" si="77"/>
        <v>108050.6</v>
      </c>
      <c r="F1209" s="736">
        <f t="shared" si="73"/>
        <v>729341.54999999783</v>
      </c>
      <c r="G1209" s="790">
        <f t="shared" si="74"/>
        <v>221250.11203206691</v>
      </c>
      <c r="H1209" s="795">
        <f t="shared" si="75"/>
        <v>221250.11203206691</v>
      </c>
      <c r="I1209" s="792">
        <f t="shared" si="76"/>
        <v>0</v>
      </c>
      <c r="J1209" s="792"/>
      <c r="K1209" s="812"/>
      <c r="L1209" s="796"/>
      <c r="M1209" s="812"/>
      <c r="N1209" s="796"/>
      <c r="O1209" s="796"/>
    </row>
    <row r="1210" spans="3:15">
      <c r="C1210" s="788">
        <f>IF(D1175="","-",+C1209+1)</f>
        <v>2043</v>
      </c>
      <c r="D1210" s="736">
        <f t="shared" si="72"/>
        <v>729341.54999999783</v>
      </c>
      <c r="E1210" s="789">
        <f t="shared" si="77"/>
        <v>108050.6</v>
      </c>
      <c r="F1210" s="736">
        <f t="shared" si="73"/>
        <v>621290.94999999786</v>
      </c>
      <c r="G1210" s="794">
        <f t="shared" si="74"/>
        <v>205636.38623454043</v>
      </c>
      <c r="H1210" s="795">
        <f t="shared" si="75"/>
        <v>205636.38623454043</v>
      </c>
      <c r="I1210" s="792">
        <f t="shared" si="76"/>
        <v>0</v>
      </c>
      <c r="J1210" s="792"/>
      <c r="K1210" s="812"/>
      <c r="L1210" s="796"/>
      <c r="M1210" s="812"/>
      <c r="N1210" s="796"/>
      <c r="O1210" s="796"/>
    </row>
    <row r="1211" spans="3:15">
      <c r="C1211" s="788">
        <f>IF(D1175="","-",+C1210+1)</f>
        <v>2044</v>
      </c>
      <c r="D1211" s="736">
        <f t="shared" si="72"/>
        <v>621290.94999999786</v>
      </c>
      <c r="E1211" s="789">
        <f t="shared" si="77"/>
        <v>108050.6</v>
      </c>
      <c r="F1211" s="736">
        <f t="shared" si="73"/>
        <v>513240.34999999788</v>
      </c>
      <c r="G1211" s="794">
        <f t="shared" si="74"/>
        <v>190022.6604370139</v>
      </c>
      <c r="H1211" s="795">
        <f t="shared" si="75"/>
        <v>190022.6604370139</v>
      </c>
      <c r="I1211" s="792">
        <f t="shared" si="76"/>
        <v>0</v>
      </c>
      <c r="J1211" s="792"/>
      <c r="K1211" s="812"/>
      <c r="L1211" s="796"/>
      <c r="M1211" s="812"/>
      <c r="N1211" s="796"/>
      <c r="O1211" s="796"/>
    </row>
    <row r="1212" spans="3:15">
      <c r="C1212" s="788">
        <f>IF(D1175="","-",+C1211+1)</f>
        <v>2045</v>
      </c>
      <c r="D1212" s="736">
        <f t="shared" si="72"/>
        <v>513240.34999999788</v>
      </c>
      <c r="E1212" s="789">
        <f t="shared" si="77"/>
        <v>108050.6</v>
      </c>
      <c r="F1212" s="736">
        <f t="shared" si="73"/>
        <v>405189.7499999979</v>
      </c>
      <c r="G1212" s="794">
        <f t="shared" si="74"/>
        <v>174408.93463948739</v>
      </c>
      <c r="H1212" s="795">
        <f t="shared" si="75"/>
        <v>174408.93463948739</v>
      </c>
      <c r="I1212" s="792">
        <f t="shared" si="76"/>
        <v>0</v>
      </c>
      <c r="J1212" s="792"/>
      <c r="K1212" s="812"/>
      <c r="L1212" s="796"/>
      <c r="M1212" s="812"/>
      <c r="N1212" s="796"/>
      <c r="O1212" s="796"/>
    </row>
    <row r="1213" spans="3:15">
      <c r="C1213" s="788">
        <f>IF(D1175="","-",+C1212+1)</f>
        <v>2046</v>
      </c>
      <c r="D1213" s="736">
        <f t="shared" si="72"/>
        <v>405189.7499999979</v>
      </c>
      <c r="E1213" s="789">
        <f t="shared" si="77"/>
        <v>108050.6</v>
      </c>
      <c r="F1213" s="736">
        <f t="shared" si="73"/>
        <v>297139.14999999793</v>
      </c>
      <c r="G1213" s="794">
        <f t="shared" si="74"/>
        <v>158795.20884196088</v>
      </c>
      <c r="H1213" s="795">
        <f t="shared" si="75"/>
        <v>158795.20884196088</v>
      </c>
      <c r="I1213" s="792">
        <f t="shared" si="76"/>
        <v>0</v>
      </c>
      <c r="J1213" s="792"/>
      <c r="K1213" s="812"/>
      <c r="L1213" s="796"/>
      <c r="M1213" s="812"/>
      <c r="N1213" s="796"/>
      <c r="O1213" s="796"/>
    </row>
    <row r="1214" spans="3:15">
      <c r="C1214" s="788">
        <f>IF(D1175="","-",+C1213+1)</f>
        <v>2047</v>
      </c>
      <c r="D1214" s="736">
        <f t="shared" si="72"/>
        <v>297139.14999999793</v>
      </c>
      <c r="E1214" s="789">
        <f t="shared" si="77"/>
        <v>108050.6</v>
      </c>
      <c r="F1214" s="736">
        <f t="shared" si="73"/>
        <v>189088.54999999792</v>
      </c>
      <c r="G1214" s="794">
        <f t="shared" si="74"/>
        <v>143181.48304443437</v>
      </c>
      <c r="H1214" s="795">
        <f t="shared" si="75"/>
        <v>143181.48304443437</v>
      </c>
      <c r="I1214" s="792">
        <f t="shared" si="76"/>
        <v>0</v>
      </c>
      <c r="J1214" s="792"/>
      <c r="K1214" s="812"/>
      <c r="L1214" s="796"/>
      <c r="M1214" s="812"/>
      <c r="N1214" s="796"/>
      <c r="O1214" s="796"/>
    </row>
    <row r="1215" spans="3:15">
      <c r="C1215" s="788">
        <f>IF(D1175="","-",+C1214+1)</f>
        <v>2048</v>
      </c>
      <c r="D1215" s="736">
        <f t="shared" si="72"/>
        <v>189088.54999999792</v>
      </c>
      <c r="E1215" s="789">
        <f t="shared" si="77"/>
        <v>108050.6</v>
      </c>
      <c r="F1215" s="736">
        <f t="shared" si="73"/>
        <v>81037.949999997916</v>
      </c>
      <c r="G1215" s="794">
        <f t="shared" si="74"/>
        <v>127567.75724690784</v>
      </c>
      <c r="H1215" s="795">
        <f t="shared" si="75"/>
        <v>127567.75724690784</v>
      </c>
      <c r="I1215" s="792">
        <f t="shared" si="76"/>
        <v>0</v>
      </c>
      <c r="J1215" s="792"/>
      <c r="K1215" s="812"/>
      <c r="L1215" s="796"/>
      <c r="M1215" s="812"/>
      <c r="N1215" s="796"/>
      <c r="O1215" s="796"/>
    </row>
    <row r="1216" spans="3:15">
      <c r="C1216" s="788">
        <f>IF(D1175="","-",+C1215+1)</f>
        <v>2049</v>
      </c>
      <c r="D1216" s="736">
        <f t="shared" si="72"/>
        <v>81037.949999997916</v>
      </c>
      <c r="E1216" s="789">
        <f t="shared" si="77"/>
        <v>81037.949999997916</v>
      </c>
      <c r="F1216" s="736">
        <f t="shared" si="73"/>
        <v>0</v>
      </c>
      <c r="G1216" s="794">
        <f t="shared" si="74"/>
        <v>86893.097174070208</v>
      </c>
      <c r="H1216" s="795">
        <f t="shared" si="75"/>
        <v>86893.097174070208</v>
      </c>
      <c r="I1216" s="792">
        <f t="shared" si="76"/>
        <v>0</v>
      </c>
      <c r="J1216" s="792"/>
      <c r="K1216" s="812"/>
      <c r="L1216" s="796"/>
      <c r="M1216" s="812"/>
      <c r="N1216" s="796"/>
      <c r="O1216" s="796"/>
    </row>
    <row r="1217" spans="3:15">
      <c r="C1217" s="788">
        <f>IF(D1175="","-",+C1216+1)</f>
        <v>2050</v>
      </c>
      <c r="D1217" s="736">
        <f t="shared" si="72"/>
        <v>0</v>
      </c>
      <c r="E1217" s="789">
        <f t="shared" si="77"/>
        <v>0</v>
      </c>
      <c r="F1217" s="736">
        <f t="shared" si="73"/>
        <v>0</v>
      </c>
      <c r="G1217" s="794">
        <f t="shared" si="74"/>
        <v>0</v>
      </c>
      <c r="H1217" s="795">
        <f t="shared" si="75"/>
        <v>0</v>
      </c>
      <c r="I1217" s="792">
        <f t="shared" si="76"/>
        <v>0</v>
      </c>
      <c r="J1217" s="792"/>
      <c r="K1217" s="812"/>
      <c r="L1217" s="796"/>
      <c r="M1217" s="812"/>
      <c r="N1217" s="796"/>
      <c r="O1217" s="796"/>
    </row>
    <row r="1218" spans="3:15">
      <c r="C1218" s="788">
        <f>IF(D1175="","-",+C1217+1)</f>
        <v>2051</v>
      </c>
      <c r="D1218" s="736">
        <f t="shared" si="72"/>
        <v>0</v>
      </c>
      <c r="E1218" s="789">
        <f t="shared" si="77"/>
        <v>0</v>
      </c>
      <c r="F1218" s="736">
        <f t="shared" si="73"/>
        <v>0</v>
      </c>
      <c r="G1218" s="794">
        <f t="shared" si="74"/>
        <v>0</v>
      </c>
      <c r="H1218" s="795">
        <f t="shared" si="75"/>
        <v>0</v>
      </c>
      <c r="I1218" s="792">
        <f t="shared" si="76"/>
        <v>0</v>
      </c>
      <c r="J1218" s="792"/>
      <c r="K1218" s="812"/>
      <c r="L1218" s="796"/>
      <c r="M1218" s="812"/>
      <c r="N1218" s="796"/>
      <c r="O1218" s="796"/>
    </row>
    <row r="1219" spans="3:15">
      <c r="C1219" s="788">
        <f>IF(D1175="","-",+C1218+1)</f>
        <v>2052</v>
      </c>
      <c r="D1219" s="736">
        <f t="shared" si="72"/>
        <v>0</v>
      </c>
      <c r="E1219" s="789">
        <f t="shared" si="77"/>
        <v>0</v>
      </c>
      <c r="F1219" s="736">
        <f t="shared" si="73"/>
        <v>0</v>
      </c>
      <c r="G1219" s="794">
        <f t="shared" si="74"/>
        <v>0</v>
      </c>
      <c r="H1219" s="795">
        <f t="shared" si="75"/>
        <v>0</v>
      </c>
      <c r="I1219" s="792">
        <f t="shared" si="76"/>
        <v>0</v>
      </c>
      <c r="J1219" s="792"/>
      <c r="K1219" s="812"/>
      <c r="L1219" s="796"/>
      <c r="M1219" s="812"/>
      <c r="N1219" s="796"/>
      <c r="O1219" s="796"/>
    </row>
    <row r="1220" spans="3:15">
      <c r="C1220" s="788">
        <f>IF(D1175="","-",+C1219+1)</f>
        <v>2053</v>
      </c>
      <c r="D1220" s="736">
        <f t="shared" si="72"/>
        <v>0</v>
      </c>
      <c r="E1220" s="789">
        <f t="shared" si="77"/>
        <v>0</v>
      </c>
      <c r="F1220" s="736">
        <f t="shared" si="73"/>
        <v>0</v>
      </c>
      <c r="G1220" s="794">
        <f t="shared" si="74"/>
        <v>0</v>
      </c>
      <c r="H1220" s="795">
        <f t="shared" si="75"/>
        <v>0</v>
      </c>
      <c r="I1220" s="792">
        <f t="shared" si="76"/>
        <v>0</v>
      </c>
      <c r="J1220" s="792"/>
      <c r="K1220" s="812"/>
      <c r="L1220" s="796"/>
      <c r="M1220" s="812"/>
      <c r="N1220" s="796"/>
      <c r="O1220" s="796"/>
    </row>
    <row r="1221" spans="3:15">
      <c r="C1221" s="788">
        <f>IF(D1175="","-",+C1220+1)</f>
        <v>2054</v>
      </c>
      <c r="D1221" s="736">
        <f t="shared" si="72"/>
        <v>0</v>
      </c>
      <c r="E1221" s="789">
        <f t="shared" si="77"/>
        <v>0</v>
      </c>
      <c r="F1221" s="736">
        <f t="shared" si="73"/>
        <v>0</v>
      </c>
      <c r="G1221" s="794">
        <f t="shared" si="74"/>
        <v>0</v>
      </c>
      <c r="H1221" s="795">
        <f t="shared" si="75"/>
        <v>0</v>
      </c>
      <c r="I1221" s="792">
        <f t="shared" si="76"/>
        <v>0</v>
      </c>
      <c r="J1221" s="792"/>
      <c r="K1221" s="812"/>
      <c r="L1221" s="796"/>
      <c r="M1221" s="812"/>
      <c r="N1221" s="796"/>
      <c r="O1221" s="796"/>
    </row>
    <row r="1222" spans="3:15">
      <c r="C1222" s="788">
        <f>IF(D1175="","-",+C1221+1)</f>
        <v>2055</v>
      </c>
      <c r="D1222" s="736">
        <f t="shared" si="72"/>
        <v>0</v>
      </c>
      <c r="E1222" s="789">
        <f t="shared" si="77"/>
        <v>0</v>
      </c>
      <c r="F1222" s="736">
        <f t="shared" si="73"/>
        <v>0</v>
      </c>
      <c r="G1222" s="794">
        <f t="shared" si="74"/>
        <v>0</v>
      </c>
      <c r="H1222" s="795">
        <f t="shared" si="75"/>
        <v>0</v>
      </c>
      <c r="I1222" s="792">
        <f t="shared" si="76"/>
        <v>0</v>
      </c>
      <c r="J1222" s="792"/>
      <c r="K1222" s="812"/>
      <c r="L1222" s="796"/>
      <c r="M1222" s="812"/>
      <c r="N1222" s="796"/>
      <c r="O1222" s="796"/>
    </row>
    <row r="1223" spans="3:15">
      <c r="C1223" s="788">
        <f>IF(D1175="","-",+C1222+1)</f>
        <v>2056</v>
      </c>
      <c r="D1223" s="736">
        <f t="shared" si="72"/>
        <v>0</v>
      </c>
      <c r="E1223" s="789">
        <f t="shared" si="77"/>
        <v>0</v>
      </c>
      <c r="F1223" s="736">
        <f t="shared" si="73"/>
        <v>0</v>
      </c>
      <c r="G1223" s="794">
        <f t="shared" si="74"/>
        <v>0</v>
      </c>
      <c r="H1223" s="795">
        <f t="shared" si="75"/>
        <v>0</v>
      </c>
      <c r="I1223" s="792">
        <f t="shared" si="76"/>
        <v>0</v>
      </c>
      <c r="J1223" s="792"/>
      <c r="K1223" s="812"/>
      <c r="L1223" s="796"/>
      <c r="M1223" s="812"/>
      <c r="N1223" s="796"/>
      <c r="O1223" s="796"/>
    </row>
    <row r="1224" spans="3:15">
      <c r="C1224" s="788">
        <f>IF(D1175="","-",+C1223+1)</f>
        <v>2057</v>
      </c>
      <c r="D1224" s="736">
        <f t="shared" si="72"/>
        <v>0</v>
      </c>
      <c r="E1224" s="789">
        <f t="shared" si="77"/>
        <v>0</v>
      </c>
      <c r="F1224" s="736">
        <f t="shared" si="73"/>
        <v>0</v>
      </c>
      <c r="G1224" s="794">
        <f t="shared" si="74"/>
        <v>0</v>
      </c>
      <c r="H1224" s="795">
        <f t="shared" si="75"/>
        <v>0</v>
      </c>
      <c r="I1224" s="792">
        <f t="shared" si="76"/>
        <v>0</v>
      </c>
      <c r="J1224" s="792"/>
      <c r="K1224" s="812"/>
      <c r="L1224" s="796"/>
      <c r="M1224" s="812"/>
      <c r="N1224" s="796"/>
      <c r="O1224" s="796"/>
    </row>
    <row r="1225" spans="3:15">
      <c r="C1225" s="788">
        <f>IF(D1175="","-",+C1224+1)</f>
        <v>2058</v>
      </c>
      <c r="D1225" s="736">
        <f t="shared" si="72"/>
        <v>0</v>
      </c>
      <c r="E1225" s="789">
        <f t="shared" si="77"/>
        <v>0</v>
      </c>
      <c r="F1225" s="736">
        <f t="shared" si="73"/>
        <v>0</v>
      </c>
      <c r="G1225" s="794">
        <f t="shared" si="74"/>
        <v>0</v>
      </c>
      <c r="H1225" s="795">
        <f t="shared" si="75"/>
        <v>0</v>
      </c>
      <c r="I1225" s="792">
        <f t="shared" si="76"/>
        <v>0</v>
      </c>
      <c r="J1225" s="792"/>
      <c r="K1225" s="812"/>
      <c r="L1225" s="796"/>
      <c r="M1225" s="812"/>
      <c r="N1225" s="796"/>
      <c r="O1225" s="796"/>
    </row>
    <row r="1226" spans="3:15">
      <c r="C1226" s="788">
        <f>IF(D1175="","-",+C1225+1)</f>
        <v>2059</v>
      </c>
      <c r="D1226" s="736">
        <f t="shared" si="72"/>
        <v>0</v>
      </c>
      <c r="E1226" s="789">
        <f t="shared" si="77"/>
        <v>0</v>
      </c>
      <c r="F1226" s="736">
        <f t="shared" si="73"/>
        <v>0</v>
      </c>
      <c r="G1226" s="794">
        <f t="shared" si="74"/>
        <v>0</v>
      </c>
      <c r="H1226" s="795">
        <f t="shared" si="75"/>
        <v>0</v>
      </c>
      <c r="I1226" s="792">
        <f t="shared" si="76"/>
        <v>0</v>
      </c>
      <c r="J1226" s="792"/>
      <c r="K1226" s="812"/>
      <c r="L1226" s="796"/>
      <c r="M1226" s="812"/>
      <c r="N1226" s="796"/>
      <c r="O1226" s="796"/>
    </row>
    <row r="1227" spans="3:15">
      <c r="C1227" s="788">
        <f>IF(D1175="","-",+C1226+1)</f>
        <v>2060</v>
      </c>
      <c r="D1227" s="736">
        <f t="shared" si="72"/>
        <v>0</v>
      </c>
      <c r="E1227" s="789">
        <f t="shared" si="77"/>
        <v>0</v>
      </c>
      <c r="F1227" s="736">
        <f t="shared" si="73"/>
        <v>0</v>
      </c>
      <c r="G1227" s="794">
        <f t="shared" si="74"/>
        <v>0</v>
      </c>
      <c r="H1227" s="795">
        <f t="shared" si="75"/>
        <v>0</v>
      </c>
      <c r="I1227" s="792">
        <f t="shared" si="76"/>
        <v>0</v>
      </c>
      <c r="J1227" s="792"/>
      <c r="K1227" s="812"/>
      <c r="L1227" s="796"/>
      <c r="M1227" s="812"/>
      <c r="N1227" s="796"/>
      <c r="O1227" s="796"/>
    </row>
    <row r="1228" spans="3:15">
      <c r="C1228" s="788">
        <f>IF(D1175="","-",+C1227+1)</f>
        <v>2061</v>
      </c>
      <c r="D1228" s="736">
        <f t="shared" si="72"/>
        <v>0</v>
      </c>
      <c r="E1228" s="789">
        <f t="shared" si="77"/>
        <v>0</v>
      </c>
      <c r="F1228" s="736">
        <f t="shared" si="73"/>
        <v>0</v>
      </c>
      <c r="G1228" s="794">
        <f t="shared" si="74"/>
        <v>0</v>
      </c>
      <c r="H1228" s="795">
        <f t="shared" si="75"/>
        <v>0</v>
      </c>
      <c r="I1228" s="792">
        <f t="shared" si="76"/>
        <v>0</v>
      </c>
      <c r="J1228" s="792"/>
      <c r="K1228" s="812"/>
      <c r="L1228" s="796"/>
      <c r="M1228" s="812"/>
      <c r="N1228" s="796"/>
      <c r="O1228" s="796"/>
    </row>
    <row r="1229" spans="3:15">
      <c r="C1229" s="788">
        <f>IF(D1175="","-",+C1228+1)</f>
        <v>2062</v>
      </c>
      <c r="D1229" s="736">
        <f t="shared" si="72"/>
        <v>0</v>
      </c>
      <c r="E1229" s="789">
        <f t="shared" si="77"/>
        <v>0</v>
      </c>
      <c r="F1229" s="736">
        <f t="shared" si="73"/>
        <v>0</v>
      </c>
      <c r="G1229" s="794">
        <f t="shared" si="74"/>
        <v>0</v>
      </c>
      <c r="H1229" s="795">
        <f t="shared" si="75"/>
        <v>0</v>
      </c>
      <c r="I1229" s="792">
        <f t="shared" si="76"/>
        <v>0</v>
      </c>
      <c r="J1229" s="792"/>
      <c r="K1229" s="812"/>
      <c r="L1229" s="796"/>
      <c r="M1229" s="812"/>
      <c r="N1229" s="796"/>
      <c r="O1229" s="796"/>
    </row>
    <row r="1230" spans="3:15">
      <c r="C1230" s="788">
        <f>IF(D1175="","-",+C1229+1)</f>
        <v>2063</v>
      </c>
      <c r="D1230" s="736">
        <f t="shared" si="72"/>
        <v>0</v>
      </c>
      <c r="E1230" s="789">
        <f t="shared" si="77"/>
        <v>0</v>
      </c>
      <c r="F1230" s="736">
        <f t="shared" si="73"/>
        <v>0</v>
      </c>
      <c r="G1230" s="794">
        <f t="shared" si="74"/>
        <v>0</v>
      </c>
      <c r="H1230" s="795">
        <f t="shared" si="75"/>
        <v>0</v>
      </c>
      <c r="I1230" s="792">
        <f t="shared" si="76"/>
        <v>0</v>
      </c>
      <c r="J1230" s="792"/>
      <c r="K1230" s="812"/>
      <c r="L1230" s="796"/>
      <c r="M1230" s="812"/>
      <c r="N1230" s="796"/>
      <c r="O1230" s="796"/>
    </row>
    <row r="1231" spans="3:15">
      <c r="C1231" s="788">
        <f>IF(D1175="","-",+C1230+1)</f>
        <v>2064</v>
      </c>
      <c r="D1231" s="736">
        <f t="shared" si="72"/>
        <v>0</v>
      </c>
      <c r="E1231" s="789">
        <f t="shared" si="77"/>
        <v>0</v>
      </c>
      <c r="F1231" s="736">
        <f t="shared" si="73"/>
        <v>0</v>
      </c>
      <c r="G1231" s="794">
        <f t="shared" si="74"/>
        <v>0</v>
      </c>
      <c r="H1231" s="795">
        <f t="shared" si="75"/>
        <v>0</v>
      </c>
      <c r="I1231" s="792">
        <f t="shared" si="76"/>
        <v>0</v>
      </c>
      <c r="J1231" s="792"/>
      <c r="K1231" s="812"/>
      <c r="L1231" s="796"/>
      <c r="M1231" s="812"/>
      <c r="N1231" s="796"/>
      <c r="O1231" s="796"/>
    </row>
    <row r="1232" spans="3:15">
      <c r="C1232" s="788">
        <f>IF(D1175="","-",+C1231+1)</f>
        <v>2065</v>
      </c>
      <c r="D1232" s="736">
        <f t="shared" si="72"/>
        <v>0</v>
      </c>
      <c r="E1232" s="789">
        <f t="shared" si="77"/>
        <v>0</v>
      </c>
      <c r="F1232" s="736">
        <f t="shared" si="73"/>
        <v>0</v>
      </c>
      <c r="G1232" s="794">
        <f t="shared" si="74"/>
        <v>0</v>
      </c>
      <c r="H1232" s="795">
        <f t="shared" si="75"/>
        <v>0</v>
      </c>
      <c r="I1232" s="792">
        <f t="shared" si="76"/>
        <v>0</v>
      </c>
      <c r="J1232" s="792"/>
      <c r="K1232" s="812"/>
      <c r="L1232" s="796"/>
      <c r="M1232" s="812"/>
      <c r="N1232" s="796"/>
      <c r="O1232" s="796"/>
    </row>
    <row r="1233" spans="3:15">
      <c r="C1233" s="788">
        <f>IF(D1175="","-",+C1232+1)</f>
        <v>2066</v>
      </c>
      <c r="D1233" s="736">
        <f t="shared" si="72"/>
        <v>0</v>
      </c>
      <c r="E1233" s="789">
        <f t="shared" si="77"/>
        <v>0</v>
      </c>
      <c r="F1233" s="736">
        <f t="shared" si="73"/>
        <v>0</v>
      </c>
      <c r="G1233" s="794">
        <f t="shared" si="74"/>
        <v>0</v>
      </c>
      <c r="H1233" s="795">
        <f t="shared" si="75"/>
        <v>0</v>
      </c>
      <c r="I1233" s="792">
        <f t="shared" si="76"/>
        <v>0</v>
      </c>
      <c r="J1233" s="792"/>
      <c r="K1233" s="812"/>
      <c r="L1233" s="796"/>
      <c r="M1233" s="812"/>
      <c r="N1233" s="796"/>
      <c r="O1233" s="796"/>
    </row>
    <row r="1234" spans="3:15">
      <c r="C1234" s="788">
        <f>IF(D1175="","-",+C1233+1)</f>
        <v>2067</v>
      </c>
      <c r="D1234" s="736">
        <f t="shared" si="72"/>
        <v>0</v>
      </c>
      <c r="E1234" s="789">
        <f t="shared" si="77"/>
        <v>0</v>
      </c>
      <c r="F1234" s="736">
        <f t="shared" si="73"/>
        <v>0</v>
      </c>
      <c r="G1234" s="794">
        <f t="shared" si="74"/>
        <v>0</v>
      </c>
      <c r="H1234" s="795">
        <f t="shared" si="75"/>
        <v>0</v>
      </c>
      <c r="I1234" s="792">
        <f t="shared" si="76"/>
        <v>0</v>
      </c>
      <c r="J1234" s="792"/>
      <c r="K1234" s="812"/>
      <c r="L1234" s="796"/>
      <c r="M1234" s="812"/>
      <c r="N1234" s="796"/>
      <c r="O1234" s="796"/>
    </row>
    <row r="1235" spans="3:15">
      <c r="C1235" s="788">
        <f>IF(D1175="","-",+C1234+1)</f>
        <v>2068</v>
      </c>
      <c r="D1235" s="736">
        <f t="shared" si="72"/>
        <v>0</v>
      </c>
      <c r="E1235" s="789">
        <f t="shared" si="77"/>
        <v>0</v>
      </c>
      <c r="F1235" s="736">
        <f t="shared" si="73"/>
        <v>0</v>
      </c>
      <c r="G1235" s="794">
        <f t="shared" si="74"/>
        <v>0</v>
      </c>
      <c r="H1235" s="795">
        <f t="shared" si="75"/>
        <v>0</v>
      </c>
      <c r="I1235" s="792">
        <f t="shared" si="76"/>
        <v>0</v>
      </c>
      <c r="J1235" s="792"/>
      <c r="K1235" s="812"/>
      <c r="L1235" s="796"/>
      <c r="M1235" s="812"/>
      <c r="N1235" s="796"/>
      <c r="O1235" s="796"/>
    </row>
    <row r="1236" spans="3:15">
      <c r="C1236" s="788">
        <f>IF(D1175="","-",+C1235+1)</f>
        <v>2069</v>
      </c>
      <c r="D1236" s="736">
        <f t="shared" si="72"/>
        <v>0</v>
      </c>
      <c r="E1236" s="789">
        <f t="shared" si="77"/>
        <v>0</v>
      </c>
      <c r="F1236" s="736">
        <f t="shared" si="73"/>
        <v>0</v>
      </c>
      <c r="G1236" s="794">
        <f t="shared" si="74"/>
        <v>0</v>
      </c>
      <c r="H1236" s="795">
        <f t="shared" si="75"/>
        <v>0</v>
      </c>
      <c r="I1236" s="792">
        <f t="shared" si="76"/>
        <v>0</v>
      </c>
      <c r="J1236" s="792"/>
      <c r="K1236" s="812"/>
      <c r="L1236" s="796"/>
      <c r="M1236" s="812"/>
      <c r="N1236" s="796"/>
      <c r="O1236" s="796"/>
    </row>
    <row r="1237" spans="3:15">
      <c r="C1237" s="788">
        <f>IF(D1175="","-",+C1236+1)</f>
        <v>2070</v>
      </c>
      <c r="D1237" s="736">
        <f t="shared" si="72"/>
        <v>0</v>
      </c>
      <c r="E1237" s="789">
        <f t="shared" si="77"/>
        <v>0</v>
      </c>
      <c r="F1237" s="736">
        <f t="shared" si="73"/>
        <v>0</v>
      </c>
      <c r="G1237" s="794">
        <f t="shared" si="74"/>
        <v>0</v>
      </c>
      <c r="H1237" s="795">
        <f t="shared" si="75"/>
        <v>0</v>
      </c>
      <c r="I1237" s="792">
        <f t="shared" si="76"/>
        <v>0</v>
      </c>
      <c r="J1237" s="792"/>
      <c r="K1237" s="812"/>
      <c r="L1237" s="796"/>
      <c r="M1237" s="812"/>
      <c r="N1237" s="796"/>
      <c r="O1237" s="796"/>
    </row>
    <row r="1238" spans="3:15">
      <c r="C1238" s="788">
        <f>IF(D1175="","-",+C1237+1)</f>
        <v>2071</v>
      </c>
      <c r="D1238" s="736">
        <f t="shared" si="72"/>
        <v>0</v>
      </c>
      <c r="E1238" s="789">
        <f t="shared" si="77"/>
        <v>0</v>
      </c>
      <c r="F1238" s="736">
        <f t="shared" si="73"/>
        <v>0</v>
      </c>
      <c r="G1238" s="794">
        <f t="shared" si="74"/>
        <v>0</v>
      </c>
      <c r="H1238" s="795">
        <f t="shared" si="75"/>
        <v>0</v>
      </c>
      <c r="I1238" s="792">
        <f t="shared" si="76"/>
        <v>0</v>
      </c>
      <c r="J1238" s="792"/>
      <c r="K1238" s="812"/>
      <c r="L1238" s="796"/>
      <c r="M1238" s="812"/>
      <c r="N1238" s="796"/>
      <c r="O1238" s="796"/>
    </row>
    <row r="1239" spans="3:15">
      <c r="C1239" s="788">
        <f>IF(D1175="","-",+C1238+1)</f>
        <v>2072</v>
      </c>
      <c r="D1239" s="736">
        <f t="shared" si="72"/>
        <v>0</v>
      </c>
      <c r="E1239" s="789">
        <f t="shared" si="77"/>
        <v>0</v>
      </c>
      <c r="F1239" s="736">
        <f t="shared" si="73"/>
        <v>0</v>
      </c>
      <c r="G1239" s="794">
        <f t="shared" si="74"/>
        <v>0</v>
      </c>
      <c r="H1239" s="795">
        <f t="shared" si="75"/>
        <v>0</v>
      </c>
      <c r="I1239" s="792">
        <f t="shared" si="76"/>
        <v>0</v>
      </c>
      <c r="J1239" s="792"/>
      <c r="K1239" s="812"/>
      <c r="L1239" s="796"/>
      <c r="M1239" s="812"/>
      <c r="N1239" s="796"/>
      <c r="O1239" s="796"/>
    </row>
    <row r="1240" spans="3:15" ht="13.5" thickBot="1">
      <c r="C1240" s="798">
        <f>IF(D1175="","-",+C1239+1)</f>
        <v>2073</v>
      </c>
      <c r="D1240" s="799">
        <f t="shared" si="72"/>
        <v>0</v>
      </c>
      <c r="E1240" s="800">
        <f t="shared" si="77"/>
        <v>0</v>
      </c>
      <c r="F1240" s="799">
        <f t="shared" si="73"/>
        <v>0</v>
      </c>
      <c r="G1240" s="801">
        <f t="shared" si="74"/>
        <v>0</v>
      </c>
      <c r="H1240" s="801">
        <f t="shared" si="75"/>
        <v>0</v>
      </c>
      <c r="I1240" s="802">
        <f t="shared" si="76"/>
        <v>0</v>
      </c>
      <c r="J1240" s="792"/>
      <c r="K1240" s="813"/>
      <c r="L1240" s="803"/>
      <c r="M1240" s="813"/>
      <c r="N1240" s="803"/>
      <c r="O1240" s="803"/>
    </row>
    <row r="1241" spans="3:15">
      <c r="C1241" s="736" t="s">
        <v>83</v>
      </c>
      <c r="D1241" s="730"/>
      <c r="E1241" s="730">
        <f>SUM(E1181:E1240)</f>
        <v>3781771</v>
      </c>
      <c r="F1241" s="730"/>
      <c r="G1241" s="730">
        <f>SUM(G1181:G1240)</f>
        <v>13755038.353170058</v>
      </c>
      <c r="H1241" s="730">
        <f>SUM(H1181:H1240)</f>
        <v>13755038.353170058</v>
      </c>
      <c r="I1241" s="730">
        <f>SUM(I1181:I1240)</f>
        <v>0</v>
      </c>
      <c r="J1241" s="730"/>
      <c r="K1241" s="730"/>
      <c r="L1241" s="730"/>
      <c r="M1241" s="730"/>
      <c r="N1241" s="730"/>
      <c r="O1241" s="313"/>
    </row>
    <row r="1242" spans="3:15">
      <c r="D1242" s="538"/>
      <c r="E1242" s="313"/>
      <c r="F1242" s="313"/>
      <c r="G1242" s="313"/>
      <c r="H1242" s="708"/>
      <c r="I1242" s="708"/>
      <c r="J1242" s="730"/>
      <c r="K1242" s="708"/>
      <c r="L1242" s="708"/>
      <c r="M1242" s="708"/>
      <c r="N1242" s="708"/>
      <c r="O1242" s="313"/>
    </row>
    <row r="1243" spans="3:15">
      <c r="C1243" s="313" t="s">
        <v>13</v>
      </c>
      <c r="D1243" s="538"/>
      <c r="E1243" s="313"/>
      <c r="F1243" s="313"/>
      <c r="G1243" s="313"/>
      <c r="H1243" s="708"/>
      <c r="I1243" s="708"/>
      <c r="J1243" s="730"/>
      <c r="K1243" s="708"/>
      <c r="L1243" s="708"/>
      <c r="M1243" s="708"/>
      <c r="N1243" s="708"/>
      <c r="O1243" s="313"/>
    </row>
    <row r="1244" spans="3:15">
      <c r="C1244" s="313"/>
      <c r="D1244" s="538"/>
      <c r="E1244" s="313"/>
      <c r="F1244" s="313"/>
      <c r="G1244" s="313"/>
      <c r="H1244" s="708"/>
      <c r="I1244" s="708"/>
      <c r="J1244" s="730"/>
      <c r="K1244" s="708"/>
      <c r="L1244" s="708"/>
      <c r="M1244" s="708"/>
      <c r="N1244" s="708"/>
      <c r="O1244" s="313"/>
    </row>
    <row r="1245" spans="3:15">
      <c r="C1245" s="749" t="s">
        <v>14</v>
      </c>
      <c r="D1245" s="736"/>
      <c r="E1245" s="736"/>
      <c r="F1245" s="736"/>
      <c r="G1245" s="730"/>
      <c r="H1245" s="730"/>
      <c r="I1245" s="804"/>
      <c r="J1245" s="804"/>
      <c r="K1245" s="804"/>
      <c r="L1245" s="804"/>
      <c r="M1245" s="804"/>
      <c r="N1245" s="804"/>
      <c r="O1245" s="313"/>
    </row>
    <row r="1246" spans="3:15">
      <c r="C1246" s="735" t="s">
        <v>263</v>
      </c>
      <c r="D1246" s="736"/>
      <c r="E1246" s="736"/>
      <c r="F1246" s="736"/>
      <c r="G1246" s="730"/>
      <c r="H1246" s="730"/>
      <c r="I1246" s="804"/>
      <c r="J1246" s="804"/>
      <c r="K1246" s="804"/>
      <c r="L1246" s="804"/>
      <c r="M1246" s="804"/>
      <c r="N1246" s="804"/>
      <c r="O1246" s="313"/>
    </row>
    <row r="1247" spans="3:15">
      <c r="C1247" s="735" t="s">
        <v>84</v>
      </c>
      <c r="D1247" s="736"/>
      <c r="E1247" s="736"/>
      <c r="F1247" s="736"/>
      <c r="G1247" s="730"/>
      <c r="H1247" s="730"/>
      <c r="I1247" s="804"/>
      <c r="J1247" s="804"/>
      <c r="K1247" s="804"/>
      <c r="L1247" s="804"/>
      <c r="M1247" s="804"/>
      <c r="N1247" s="804"/>
      <c r="O1247" s="313"/>
    </row>
    <row r="1248" spans="3:15">
      <c r="C1248" s="735"/>
      <c r="D1248" s="736"/>
      <c r="E1248" s="736"/>
      <c r="F1248" s="736"/>
      <c r="G1248" s="730"/>
      <c r="H1248" s="730"/>
      <c r="I1248" s="804"/>
      <c r="J1248" s="804"/>
      <c r="K1248" s="804"/>
      <c r="L1248" s="804"/>
      <c r="M1248" s="804"/>
      <c r="N1248" s="804"/>
      <c r="O1248" s="313"/>
    </row>
    <row r="1249" spans="1:16">
      <c r="C1249" s="1547" t="s">
        <v>6</v>
      </c>
      <c r="D1249" s="1547"/>
      <c r="E1249" s="1547"/>
      <c r="F1249" s="1547"/>
      <c r="G1249" s="1547"/>
      <c r="H1249" s="1547"/>
      <c r="I1249" s="1547"/>
      <c r="J1249" s="1547"/>
      <c r="K1249" s="1547"/>
      <c r="L1249" s="1547"/>
      <c r="M1249" s="1547"/>
      <c r="N1249" s="1547"/>
      <c r="O1249" s="1547"/>
    </row>
    <row r="1250" spans="1:16">
      <c r="C1250" s="1547"/>
      <c r="D1250" s="1547"/>
      <c r="E1250" s="1547"/>
      <c r="F1250" s="1547"/>
      <c r="G1250" s="1547"/>
      <c r="H1250" s="1547"/>
      <c r="I1250" s="1547"/>
      <c r="J1250" s="1547"/>
      <c r="K1250" s="1547"/>
      <c r="L1250" s="1547"/>
      <c r="M1250" s="1547"/>
      <c r="N1250" s="1547"/>
      <c r="O1250" s="1547"/>
    </row>
    <row r="1251" spans="1:16">
      <c r="C1251" s="735"/>
      <c r="D1251" s="736"/>
      <c r="E1251" s="736"/>
      <c r="F1251" s="736"/>
      <c r="G1251" s="730"/>
      <c r="H1251" s="730"/>
    </row>
    <row r="1252" spans="1:16" ht="20.25">
      <c r="A1252" s="737" t="str">
        <f>""&amp;A1176&amp;" Worksheet J -  ATRR PROJECTED Calculation for PJM Projects Charged to Benefiting Zones"</f>
        <v xml:space="preserve"> Worksheet J -  ATRR PROJECTED Calculation for PJM Projects Charged to Benefiting Zones</v>
      </c>
      <c r="B1252" s="347"/>
      <c r="C1252" s="725"/>
      <c r="D1252" s="538"/>
      <c r="E1252" s="313"/>
      <c r="F1252" s="707"/>
      <c r="G1252" s="313"/>
      <c r="H1252" s="708"/>
      <c r="K1252" s="564"/>
      <c r="L1252" s="564"/>
      <c r="M1252" s="564"/>
      <c r="N1252" s="653" t="str">
        <f>"Page "&amp;SUM(P$8:P1252)&amp;" of "</f>
        <v xml:space="preserve">Page 15 of </v>
      </c>
      <c r="O1252" s="654">
        <f>COUNT(P$8:P$56653)</f>
        <v>23</v>
      </c>
      <c r="P1252" s="172">
        <v>1</v>
      </c>
    </row>
    <row r="1253" spans="1:16">
      <c r="B1253" s="347"/>
      <c r="C1253" s="313"/>
      <c r="D1253" s="538"/>
      <c r="E1253" s="313"/>
      <c r="F1253" s="313"/>
      <c r="G1253" s="313"/>
      <c r="H1253" s="708"/>
      <c r="I1253" s="313"/>
      <c r="J1253" s="426"/>
      <c r="K1253" s="313"/>
      <c r="L1253" s="313"/>
      <c r="M1253" s="313"/>
      <c r="N1253" s="313"/>
      <c r="O1253" s="313"/>
    </row>
    <row r="1254" spans="1:16" ht="18">
      <c r="B1254" s="657" t="s">
        <v>466</v>
      </c>
      <c r="C1254" s="739" t="s">
        <v>85</v>
      </c>
      <c r="D1254" s="538"/>
      <c r="E1254" s="313"/>
      <c r="F1254" s="313"/>
      <c r="G1254" s="313"/>
      <c r="H1254" s="708"/>
      <c r="I1254" s="708"/>
      <c r="J1254" s="730"/>
      <c r="K1254" s="708"/>
      <c r="L1254" s="708"/>
      <c r="M1254" s="708"/>
      <c r="N1254" s="708"/>
      <c r="O1254" s="313"/>
    </row>
    <row r="1255" spans="1:16" ht="18.75">
      <c r="B1255" s="657"/>
      <c r="C1255" s="656"/>
      <c r="D1255" s="538"/>
      <c r="E1255" s="313"/>
      <c r="F1255" s="313"/>
      <c r="G1255" s="313"/>
      <c r="H1255" s="708"/>
      <c r="I1255" s="708"/>
      <c r="J1255" s="730"/>
      <c r="K1255" s="708"/>
      <c r="L1255" s="708"/>
      <c r="M1255" s="708"/>
      <c r="N1255" s="708"/>
      <c r="O1255" s="313"/>
    </row>
    <row r="1256" spans="1:16" ht="18.75">
      <c r="B1256" s="657"/>
      <c r="C1256" s="656" t="s">
        <v>86</v>
      </c>
      <c r="D1256" s="538"/>
      <c r="E1256" s="313"/>
      <c r="F1256" s="313"/>
      <c r="G1256" s="313"/>
      <c r="H1256" s="708"/>
      <c r="I1256" s="708"/>
      <c r="J1256" s="730"/>
      <c r="K1256" s="708"/>
      <c r="L1256" s="708"/>
      <c r="M1256" s="708"/>
      <c r="N1256" s="708"/>
      <c r="O1256" s="313"/>
    </row>
    <row r="1257" spans="1:16" ht="15.75" thickBot="1">
      <c r="C1257" s="239"/>
      <c r="D1257" s="538"/>
      <c r="E1257" s="313"/>
      <c r="F1257" s="313"/>
      <c r="G1257" s="313"/>
      <c r="H1257" s="708"/>
      <c r="I1257" s="708"/>
      <c r="J1257" s="730"/>
      <c r="K1257" s="708"/>
      <c r="L1257" s="708"/>
      <c r="M1257" s="708"/>
      <c r="N1257" s="708"/>
      <c r="O1257" s="313"/>
    </row>
    <row r="1258" spans="1:16" ht="15.75">
      <c r="C1258" s="659" t="s">
        <v>87</v>
      </c>
      <c r="D1258" s="538"/>
      <c r="E1258" s="313"/>
      <c r="F1258" s="313"/>
      <c r="G1258" s="806"/>
      <c r="H1258" s="313" t="s">
        <v>66</v>
      </c>
      <c r="I1258" s="313"/>
      <c r="J1258" s="426"/>
      <c r="K1258" s="740" t="s">
        <v>91</v>
      </c>
      <c r="L1258" s="741"/>
      <c r="M1258" s="742"/>
      <c r="N1258" s="743">
        <f>IF(I1264=0,0,VLOOKUP(I1264,C1271:O1330,5))</f>
        <v>3756492.1178843649</v>
      </c>
      <c r="O1258" s="313"/>
    </row>
    <row r="1259" spans="1:16" ht="15.75">
      <c r="C1259" s="659"/>
      <c r="D1259" s="538"/>
      <c r="E1259" s="313"/>
      <c r="F1259" s="313"/>
      <c r="G1259" s="313"/>
      <c r="H1259" s="744"/>
      <c r="I1259" s="744"/>
      <c r="J1259" s="745"/>
      <c r="K1259" s="746" t="s">
        <v>92</v>
      </c>
      <c r="L1259" s="747"/>
      <c r="M1259" s="426"/>
      <c r="N1259" s="748">
        <f>IF(I1264=0,0,VLOOKUP(I1264,C1271:O1330,6))</f>
        <v>3756492.1178843649</v>
      </c>
      <c r="O1259" s="313"/>
    </row>
    <row r="1260" spans="1:16" ht="13.5" customHeight="1" thickBot="1">
      <c r="C1260" s="749" t="s">
        <v>88</v>
      </c>
      <c r="D1260" s="1537" t="s">
        <v>823</v>
      </c>
      <c r="E1260" s="1537"/>
      <c r="F1260" s="1537"/>
      <c r="G1260" s="1537"/>
      <c r="H1260" s="1537"/>
      <c r="I1260" s="1537"/>
      <c r="J1260" s="730"/>
      <c r="K1260" s="750" t="s">
        <v>230</v>
      </c>
      <c r="L1260" s="751"/>
      <c r="M1260" s="751"/>
      <c r="N1260" s="752">
        <f>+N1259-N1258</f>
        <v>0</v>
      </c>
      <c r="O1260" s="313"/>
    </row>
    <row r="1261" spans="1:16">
      <c r="C1261" s="753"/>
      <c r="D1261" s="1537"/>
      <c r="E1261" s="1537"/>
      <c r="F1261" s="1537"/>
      <c r="G1261" s="1537"/>
      <c r="H1261" s="1537"/>
      <c r="I1261" s="1537"/>
      <c r="J1261" s="730"/>
      <c r="K1261" s="708"/>
      <c r="L1261" s="708"/>
      <c r="M1261" s="708"/>
      <c r="N1261" s="708"/>
      <c r="O1261" s="313"/>
    </row>
    <row r="1262" spans="1:16" ht="13.5" thickBot="1">
      <c r="C1262" s="756"/>
      <c r="D1262" s="757"/>
      <c r="E1262" s="755"/>
      <c r="F1262" s="755"/>
      <c r="G1262" s="755"/>
      <c r="H1262" s="755"/>
      <c r="I1262" s="755"/>
      <c r="J1262" s="758"/>
      <c r="K1262" s="755"/>
      <c r="L1262" s="755"/>
      <c r="M1262" s="755"/>
      <c r="N1262" s="755"/>
      <c r="O1262" s="347"/>
    </row>
    <row r="1263" spans="1:16" ht="13.5" thickBot="1">
      <c r="C1263" s="759" t="s">
        <v>89</v>
      </c>
      <c r="D1263" s="760"/>
      <c r="E1263" s="760"/>
      <c r="F1263" s="760"/>
      <c r="G1263" s="760"/>
      <c r="H1263" s="760"/>
      <c r="I1263" s="761"/>
      <c r="J1263" s="762"/>
      <c r="K1263" s="313"/>
      <c r="L1263" s="313"/>
      <c r="M1263" s="313"/>
      <c r="N1263" s="313"/>
      <c r="O1263" s="763"/>
    </row>
    <row r="1264" spans="1:16" ht="15">
      <c r="C1264" s="764" t="s">
        <v>67</v>
      </c>
      <c r="D1264" s="808">
        <v>26055178</v>
      </c>
      <c r="E1264" s="725" t="s">
        <v>68</v>
      </c>
      <c r="G1264" s="765"/>
      <c r="H1264" s="765"/>
      <c r="I1264" s="766">
        <f>$L$26</f>
        <v>2023</v>
      </c>
      <c r="J1264" s="554"/>
      <c r="K1264" s="1536" t="s">
        <v>239</v>
      </c>
      <c r="L1264" s="1536"/>
      <c r="M1264" s="1536"/>
      <c r="N1264" s="1536"/>
      <c r="O1264" s="1536"/>
    </row>
    <row r="1265" spans="2:15">
      <c r="C1265" s="764" t="s">
        <v>70</v>
      </c>
      <c r="D1265" s="809">
        <v>2016</v>
      </c>
      <c r="E1265" s="764" t="s">
        <v>71</v>
      </c>
      <c r="F1265" s="765"/>
      <c r="H1265" s="172"/>
      <c r="I1265" s="810">
        <f>IF(G1258="",0,$F$17)</f>
        <v>0</v>
      </c>
      <c r="J1265" s="767"/>
      <c r="K1265" s="730" t="s">
        <v>239</v>
      </c>
    </row>
    <row r="1266" spans="2:15">
      <c r="C1266" s="764" t="s">
        <v>72</v>
      </c>
      <c r="D1266" s="808">
        <v>6</v>
      </c>
      <c r="E1266" s="764" t="s">
        <v>73</v>
      </c>
      <c r="F1266" s="765"/>
      <c r="H1266" s="172"/>
      <c r="I1266" s="768">
        <f>$G$70</f>
        <v>0.14450383244078713</v>
      </c>
      <c r="J1266" s="769"/>
      <c r="K1266" s="172" t="str">
        <f>"          INPUT PROJECTED ARR (WITH &amp; WITHOUT INCENTIVES) FROM EACH PRIOR YEAR"</f>
        <v xml:space="preserve">          INPUT PROJECTED ARR (WITH &amp; WITHOUT INCENTIVES) FROM EACH PRIOR YEAR</v>
      </c>
    </row>
    <row r="1267" spans="2:15">
      <c r="C1267" s="764" t="s">
        <v>74</v>
      </c>
      <c r="D1267" s="770">
        <f>$G$79</f>
        <v>35</v>
      </c>
      <c r="E1267" s="764" t="s">
        <v>75</v>
      </c>
      <c r="F1267" s="765"/>
      <c r="H1267" s="172"/>
      <c r="I1267" s="768">
        <f>IF(G1258="",I1266,$G$69)</f>
        <v>0.14450383244078713</v>
      </c>
      <c r="J1267" s="771"/>
      <c r="K1267" s="172" t="s">
        <v>152</v>
      </c>
    </row>
    <row r="1268" spans="2:15" ht="13.5" thickBot="1">
      <c r="C1268" s="764" t="s">
        <v>76</v>
      </c>
      <c r="D1268" s="807" t="s">
        <v>808</v>
      </c>
      <c r="E1268" s="772" t="s">
        <v>77</v>
      </c>
      <c r="F1268" s="773"/>
      <c r="G1268" s="774"/>
      <c r="H1268" s="774"/>
      <c r="I1268" s="752">
        <f>IF(D1264=0,0,D1264/D1267)</f>
        <v>744433.65714285709</v>
      </c>
      <c r="J1268" s="730"/>
      <c r="K1268" s="730" t="s">
        <v>158</v>
      </c>
      <c r="L1268" s="730"/>
      <c r="M1268" s="730"/>
      <c r="N1268" s="730"/>
      <c r="O1268" s="426"/>
    </row>
    <row r="1269" spans="2:15" ht="38.25">
      <c r="B1269" s="845"/>
      <c r="C1269" s="775" t="s">
        <v>67</v>
      </c>
      <c r="D1269" s="776" t="s">
        <v>78</v>
      </c>
      <c r="E1269" s="777" t="s">
        <v>79</v>
      </c>
      <c r="F1269" s="776" t="s">
        <v>80</v>
      </c>
      <c r="G1269" s="777" t="s">
        <v>151</v>
      </c>
      <c r="H1269" s="778" t="s">
        <v>151</v>
      </c>
      <c r="I1269" s="775" t="s">
        <v>90</v>
      </c>
      <c r="J1269" s="779"/>
      <c r="K1269" s="777" t="s">
        <v>160</v>
      </c>
      <c r="L1269" s="780"/>
      <c r="M1269" s="777" t="s">
        <v>160</v>
      </c>
      <c r="N1269" s="780"/>
      <c r="O1269" s="780"/>
    </row>
    <row r="1270" spans="2:15" ht="13.5" thickBot="1">
      <c r="C1270" s="781" t="s">
        <v>469</v>
      </c>
      <c r="D1270" s="782" t="s">
        <v>470</v>
      </c>
      <c r="E1270" s="781" t="s">
        <v>363</v>
      </c>
      <c r="F1270" s="782" t="s">
        <v>470</v>
      </c>
      <c r="G1270" s="783" t="s">
        <v>93</v>
      </c>
      <c r="H1270" s="784" t="s">
        <v>95</v>
      </c>
      <c r="I1270" s="785" t="s">
        <v>15</v>
      </c>
      <c r="J1270" s="786"/>
      <c r="K1270" s="783" t="s">
        <v>82</v>
      </c>
      <c r="L1270" s="787"/>
      <c r="M1270" s="783" t="s">
        <v>95</v>
      </c>
      <c r="N1270" s="787"/>
      <c r="O1270" s="787"/>
    </row>
    <row r="1271" spans="2:15">
      <c r="C1271" s="788">
        <f>IF(D1265= "","-",D1265)</f>
        <v>2016</v>
      </c>
      <c r="D1271" s="736">
        <f>+D1264</f>
        <v>26055178</v>
      </c>
      <c r="E1271" s="789">
        <f>+I1268/12*(12-D1266)</f>
        <v>372216.82857142854</v>
      </c>
      <c r="F1271" s="736">
        <f>+D1271-E1271</f>
        <v>25682961.171428572</v>
      </c>
      <c r="G1271" s="985">
        <f>+$I$96*((D1271+F1271)/2)+E1271</f>
        <v>4110396.5253845486</v>
      </c>
      <c r="H1271" s="986">
        <f>$I$97*((D1271+F1271)/2)+E1271</f>
        <v>4110396.5253845486</v>
      </c>
      <c r="I1271" s="792">
        <f>+H1271-G1271</f>
        <v>0</v>
      </c>
      <c r="J1271" s="792"/>
      <c r="K1271" s="811">
        <v>1957261</v>
      </c>
      <c r="L1271" s="793"/>
      <c r="M1271" s="811">
        <v>1957261</v>
      </c>
      <c r="N1271" s="793"/>
      <c r="O1271" s="793"/>
    </row>
    <row r="1272" spans="2:15">
      <c r="C1272" s="788">
        <f>IF(D1265="","-",+C1271+1)</f>
        <v>2017</v>
      </c>
      <c r="D1272" s="736">
        <f t="shared" ref="D1272:D1330" si="78">F1271</f>
        <v>25682961.171428572</v>
      </c>
      <c r="E1272" s="789">
        <f>IF(D1272&gt;$I$1268,$I$1268,D1272)</f>
        <v>744433.65714285709</v>
      </c>
      <c r="F1272" s="736">
        <f t="shared" ref="F1272:F1330" si="79">+D1272-E1272</f>
        <v>24938527.514285713</v>
      </c>
      <c r="G1272" s="794">
        <f t="shared" ref="G1272:G1330" si="80">+$I$96*((D1272+F1272)/2)+E1272</f>
        <v>4401933.216614686</v>
      </c>
      <c r="H1272" s="795">
        <f t="shared" ref="H1272:H1330" si="81">$I$97*((D1272+F1272)/2)+E1272</f>
        <v>4401933.216614686</v>
      </c>
      <c r="I1272" s="792">
        <f t="shared" ref="I1272:I1330" si="82">+H1272-G1272</f>
        <v>0</v>
      </c>
      <c r="J1272" s="792"/>
      <c r="K1272" s="812">
        <v>582397</v>
      </c>
      <c r="L1272" s="796"/>
      <c r="M1272" s="812">
        <v>582397</v>
      </c>
      <c r="N1272" s="796"/>
      <c r="O1272" s="796"/>
    </row>
    <row r="1273" spans="2:15">
      <c r="C1273" s="1312">
        <f>IF(D1265="","-",+C1272+1)</f>
        <v>2018</v>
      </c>
      <c r="D1273" s="736">
        <f t="shared" si="78"/>
        <v>24938527.514285713</v>
      </c>
      <c r="E1273" s="789">
        <f t="shared" ref="E1273:E1330" si="83">IF(D1273&gt;$I$1268,$I$1268,D1273)</f>
        <v>744433.65714285709</v>
      </c>
      <c r="F1273" s="736">
        <f t="shared" si="79"/>
        <v>24194093.857142858</v>
      </c>
      <c r="G1273" s="794">
        <f t="shared" si="80"/>
        <v>4294359.7001596326</v>
      </c>
      <c r="H1273" s="795">
        <f t="shared" si="81"/>
        <v>4294359.7001596326</v>
      </c>
      <c r="I1273" s="792">
        <f t="shared" si="82"/>
        <v>0</v>
      </c>
      <c r="J1273" s="792"/>
      <c r="K1273" s="812">
        <v>4098498</v>
      </c>
      <c r="L1273" s="796"/>
      <c r="M1273" s="812">
        <v>4098498</v>
      </c>
      <c r="N1273" s="796"/>
      <c r="O1273" s="796"/>
    </row>
    <row r="1274" spans="2:15">
      <c r="C1274" s="1290">
        <f>IF(D1265="","-",+C1273+1)</f>
        <v>2019</v>
      </c>
      <c r="D1274" s="736">
        <f t="shared" si="78"/>
        <v>24194093.857142858</v>
      </c>
      <c r="E1274" s="789">
        <f t="shared" si="83"/>
        <v>744433.65714285709</v>
      </c>
      <c r="F1274" s="736">
        <f t="shared" si="79"/>
        <v>23449660.200000003</v>
      </c>
      <c r="G1274" s="794">
        <f t="shared" si="80"/>
        <v>4186786.1837045792</v>
      </c>
      <c r="H1274" s="795">
        <f t="shared" si="81"/>
        <v>4186786.1837045792</v>
      </c>
      <c r="I1274" s="792">
        <f t="shared" si="82"/>
        <v>0</v>
      </c>
      <c r="J1274" s="792"/>
      <c r="K1274" s="812"/>
      <c r="L1274" s="796"/>
      <c r="M1274" s="812"/>
      <c r="N1274" s="796"/>
      <c r="O1274" s="796"/>
    </row>
    <row r="1275" spans="2:15">
      <c r="C1275" s="788">
        <f>IF(D1265="","-",+C1274+1)</f>
        <v>2020</v>
      </c>
      <c r="D1275" s="736">
        <f t="shared" si="78"/>
        <v>23449660.200000003</v>
      </c>
      <c r="E1275" s="789">
        <f t="shared" si="83"/>
        <v>744433.65714285709</v>
      </c>
      <c r="F1275" s="736">
        <f t="shared" si="79"/>
        <v>22705226.542857148</v>
      </c>
      <c r="G1275" s="794">
        <f t="shared" si="80"/>
        <v>4079212.6672495254</v>
      </c>
      <c r="H1275" s="795">
        <f t="shared" si="81"/>
        <v>4079212.6672495254</v>
      </c>
      <c r="I1275" s="792">
        <f t="shared" si="82"/>
        <v>0</v>
      </c>
      <c r="J1275" s="792"/>
      <c r="K1275" s="812"/>
      <c r="L1275" s="796"/>
      <c r="M1275" s="812"/>
      <c r="N1275" s="796"/>
      <c r="O1275" s="796"/>
    </row>
    <row r="1276" spans="2:15">
      <c r="C1276" s="788">
        <f>IF(D1265="","-",+C1275+1)</f>
        <v>2021</v>
      </c>
      <c r="D1276" s="736">
        <f t="shared" si="78"/>
        <v>22705226.542857148</v>
      </c>
      <c r="E1276" s="789">
        <f t="shared" si="83"/>
        <v>744433.65714285709</v>
      </c>
      <c r="F1276" s="736">
        <f t="shared" si="79"/>
        <v>21960792.885714293</v>
      </c>
      <c r="G1276" s="794">
        <f t="shared" si="80"/>
        <v>3971639.1507944721</v>
      </c>
      <c r="H1276" s="795">
        <f t="shared" si="81"/>
        <v>3971639.1507944721</v>
      </c>
      <c r="I1276" s="792">
        <f t="shared" si="82"/>
        <v>0</v>
      </c>
      <c r="J1276" s="792"/>
      <c r="K1276" s="812"/>
      <c r="L1276" s="796"/>
      <c r="M1276" s="812"/>
      <c r="N1276" s="796"/>
      <c r="O1276" s="796"/>
    </row>
    <row r="1277" spans="2:15">
      <c r="C1277" s="788">
        <f>IF(D1265="","-",+C1276+1)</f>
        <v>2022</v>
      </c>
      <c r="D1277" s="736">
        <f t="shared" si="78"/>
        <v>21960792.885714293</v>
      </c>
      <c r="E1277" s="789">
        <f t="shared" si="83"/>
        <v>744433.65714285709</v>
      </c>
      <c r="F1277" s="736">
        <f t="shared" si="79"/>
        <v>21216359.228571437</v>
      </c>
      <c r="G1277" s="794">
        <f t="shared" si="80"/>
        <v>3864065.6343394183</v>
      </c>
      <c r="H1277" s="795">
        <f t="shared" si="81"/>
        <v>3864065.6343394183</v>
      </c>
      <c r="I1277" s="792">
        <f t="shared" si="82"/>
        <v>0</v>
      </c>
      <c r="J1277" s="792"/>
      <c r="K1277" s="812"/>
      <c r="L1277" s="796"/>
      <c r="M1277" s="812"/>
      <c r="N1277" s="796"/>
      <c r="O1277" s="796"/>
    </row>
    <row r="1278" spans="2:15">
      <c r="C1278" s="788">
        <f>IF(D1265="","-",+C1277+1)</f>
        <v>2023</v>
      </c>
      <c r="D1278" s="736">
        <f t="shared" si="78"/>
        <v>21216359.228571437</v>
      </c>
      <c r="E1278" s="789">
        <f t="shared" si="83"/>
        <v>744433.65714285709</v>
      </c>
      <c r="F1278" s="736">
        <f t="shared" si="79"/>
        <v>20471925.571428582</v>
      </c>
      <c r="G1278" s="794">
        <f t="shared" si="80"/>
        <v>3756492.1178843649</v>
      </c>
      <c r="H1278" s="795">
        <f t="shared" si="81"/>
        <v>3756492.1178843649</v>
      </c>
      <c r="I1278" s="792">
        <f t="shared" si="82"/>
        <v>0</v>
      </c>
      <c r="J1278" s="792"/>
      <c r="K1278" s="812"/>
      <c r="L1278" s="796"/>
      <c r="M1278" s="812"/>
      <c r="N1278" s="796"/>
      <c r="O1278" s="796"/>
    </row>
    <row r="1279" spans="2:15">
      <c r="C1279" s="788">
        <f>IF(D1265="","-",+C1278+1)</f>
        <v>2024</v>
      </c>
      <c r="D1279" s="736">
        <f t="shared" si="78"/>
        <v>20471925.571428582</v>
      </c>
      <c r="E1279" s="789">
        <f t="shared" si="83"/>
        <v>744433.65714285709</v>
      </c>
      <c r="F1279" s="736">
        <f t="shared" si="79"/>
        <v>19727491.914285727</v>
      </c>
      <c r="G1279" s="794">
        <f t="shared" si="80"/>
        <v>3648918.6014293116</v>
      </c>
      <c r="H1279" s="795">
        <f t="shared" si="81"/>
        <v>3648918.6014293116</v>
      </c>
      <c r="I1279" s="792">
        <f t="shared" si="82"/>
        <v>0</v>
      </c>
      <c r="J1279" s="792"/>
      <c r="K1279" s="812"/>
      <c r="L1279" s="796"/>
      <c r="M1279" s="812"/>
      <c r="N1279" s="796"/>
      <c r="O1279" s="796"/>
    </row>
    <row r="1280" spans="2:15">
      <c r="C1280" s="788">
        <f>IF(D1265="","-",+C1279+1)</f>
        <v>2025</v>
      </c>
      <c r="D1280" s="736">
        <f t="shared" si="78"/>
        <v>19727491.914285727</v>
      </c>
      <c r="E1280" s="789">
        <f t="shared" si="83"/>
        <v>744433.65714285709</v>
      </c>
      <c r="F1280" s="736">
        <f t="shared" si="79"/>
        <v>18983058.257142872</v>
      </c>
      <c r="G1280" s="794">
        <f t="shared" si="80"/>
        <v>3541345.0849742577</v>
      </c>
      <c r="H1280" s="795">
        <f t="shared" si="81"/>
        <v>3541345.0849742577</v>
      </c>
      <c r="I1280" s="792">
        <f t="shared" si="82"/>
        <v>0</v>
      </c>
      <c r="J1280" s="792"/>
      <c r="K1280" s="812"/>
      <c r="L1280" s="796"/>
      <c r="M1280" s="812"/>
      <c r="N1280" s="796"/>
      <c r="O1280" s="796"/>
    </row>
    <row r="1281" spans="3:15">
      <c r="C1281" s="788">
        <f>IF(D1265="","-",+C1280+1)</f>
        <v>2026</v>
      </c>
      <c r="D1281" s="736">
        <f t="shared" si="78"/>
        <v>18983058.257142872</v>
      </c>
      <c r="E1281" s="789">
        <f t="shared" si="83"/>
        <v>744433.65714285709</v>
      </c>
      <c r="F1281" s="736">
        <f t="shared" si="79"/>
        <v>18238624.600000016</v>
      </c>
      <c r="G1281" s="794">
        <f t="shared" si="80"/>
        <v>3433771.5685192044</v>
      </c>
      <c r="H1281" s="795">
        <f t="shared" si="81"/>
        <v>3433771.5685192044</v>
      </c>
      <c r="I1281" s="792">
        <f t="shared" si="82"/>
        <v>0</v>
      </c>
      <c r="J1281" s="792"/>
      <c r="K1281" s="812"/>
      <c r="L1281" s="796"/>
      <c r="M1281" s="812"/>
      <c r="N1281" s="796"/>
      <c r="O1281" s="796"/>
    </row>
    <row r="1282" spans="3:15">
      <c r="C1282" s="788">
        <f>IF(D1265="","-",+C1281+1)</f>
        <v>2027</v>
      </c>
      <c r="D1282" s="736">
        <f t="shared" si="78"/>
        <v>18238624.600000016</v>
      </c>
      <c r="E1282" s="789">
        <f t="shared" si="83"/>
        <v>744433.65714285709</v>
      </c>
      <c r="F1282" s="736">
        <f t="shared" si="79"/>
        <v>17494190.942857161</v>
      </c>
      <c r="G1282" s="794">
        <f t="shared" si="80"/>
        <v>3326198.052064151</v>
      </c>
      <c r="H1282" s="795">
        <f t="shared" si="81"/>
        <v>3326198.052064151</v>
      </c>
      <c r="I1282" s="792">
        <f t="shared" si="82"/>
        <v>0</v>
      </c>
      <c r="J1282" s="792"/>
      <c r="K1282" s="812"/>
      <c r="L1282" s="796"/>
      <c r="M1282" s="812"/>
      <c r="N1282" s="796"/>
      <c r="O1282" s="796"/>
    </row>
    <row r="1283" spans="3:15">
      <c r="C1283" s="788">
        <f>IF(D1265="","-",+C1282+1)</f>
        <v>2028</v>
      </c>
      <c r="D1283" s="736">
        <f t="shared" si="78"/>
        <v>17494190.942857161</v>
      </c>
      <c r="E1283" s="789">
        <f t="shared" si="83"/>
        <v>744433.65714285709</v>
      </c>
      <c r="F1283" s="736">
        <f t="shared" si="79"/>
        <v>16749757.285714304</v>
      </c>
      <c r="G1283" s="794">
        <f t="shared" si="80"/>
        <v>3218624.5356090972</v>
      </c>
      <c r="H1283" s="795">
        <f t="shared" si="81"/>
        <v>3218624.5356090972</v>
      </c>
      <c r="I1283" s="792">
        <f t="shared" si="82"/>
        <v>0</v>
      </c>
      <c r="J1283" s="792"/>
      <c r="K1283" s="812"/>
      <c r="L1283" s="796"/>
      <c r="M1283" s="812"/>
      <c r="N1283" s="797"/>
      <c r="O1283" s="796"/>
    </row>
    <row r="1284" spans="3:15">
      <c r="C1284" s="788">
        <f>IF(D1265="","-",+C1283+1)</f>
        <v>2029</v>
      </c>
      <c r="D1284" s="736">
        <f t="shared" si="78"/>
        <v>16749757.285714304</v>
      </c>
      <c r="E1284" s="789">
        <f t="shared" si="83"/>
        <v>744433.65714285709</v>
      </c>
      <c r="F1284" s="736">
        <f t="shared" si="79"/>
        <v>16005323.628571447</v>
      </c>
      <c r="G1284" s="794">
        <f t="shared" si="80"/>
        <v>3111051.0191540434</v>
      </c>
      <c r="H1284" s="795">
        <f t="shared" si="81"/>
        <v>3111051.0191540434</v>
      </c>
      <c r="I1284" s="792">
        <f t="shared" si="82"/>
        <v>0</v>
      </c>
      <c r="J1284" s="792"/>
      <c r="K1284" s="812"/>
      <c r="L1284" s="796"/>
      <c r="M1284" s="812"/>
      <c r="N1284" s="796"/>
      <c r="O1284" s="796"/>
    </row>
    <row r="1285" spans="3:15">
      <c r="C1285" s="788">
        <f>IF(D1265="","-",+C1284+1)</f>
        <v>2030</v>
      </c>
      <c r="D1285" s="736">
        <f t="shared" si="78"/>
        <v>16005323.628571447</v>
      </c>
      <c r="E1285" s="789">
        <f t="shared" si="83"/>
        <v>744433.65714285709</v>
      </c>
      <c r="F1285" s="736">
        <f t="shared" si="79"/>
        <v>15260889.97142859</v>
      </c>
      <c r="G1285" s="794">
        <f t="shared" si="80"/>
        <v>3003477.5026989896</v>
      </c>
      <c r="H1285" s="795">
        <f t="shared" si="81"/>
        <v>3003477.5026989896</v>
      </c>
      <c r="I1285" s="792">
        <f t="shared" si="82"/>
        <v>0</v>
      </c>
      <c r="J1285" s="792"/>
      <c r="K1285" s="812"/>
      <c r="L1285" s="796"/>
      <c r="M1285" s="812"/>
      <c r="N1285" s="796"/>
      <c r="O1285" s="796"/>
    </row>
    <row r="1286" spans="3:15">
      <c r="C1286" s="788">
        <f>IF(D1265="","-",+C1285+1)</f>
        <v>2031</v>
      </c>
      <c r="D1286" s="736">
        <f t="shared" si="78"/>
        <v>15260889.97142859</v>
      </c>
      <c r="E1286" s="789">
        <f t="shared" si="83"/>
        <v>744433.65714285709</v>
      </c>
      <c r="F1286" s="736">
        <f t="shared" si="79"/>
        <v>14516456.314285733</v>
      </c>
      <c r="G1286" s="794">
        <f t="shared" si="80"/>
        <v>2895903.9862439358</v>
      </c>
      <c r="H1286" s="795">
        <f t="shared" si="81"/>
        <v>2895903.9862439358</v>
      </c>
      <c r="I1286" s="792">
        <f t="shared" si="82"/>
        <v>0</v>
      </c>
      <c r="J1286" s="792"/>
      <c r="K1286" s="812"/>
      <c r="L1286" s="796"/>
      <c r="M1286" s="812"/>
      <c r="N1286" s="796"/>
      <c r="O1286" s="796"/>
    </row>
    <row r="1287" spans="3:15">
      <c r="C1287" s="788">
        <f>IF(D1265="","-",+C1286+1)</f>
        <v>2032</v>
      </c>
      <c r="D1287" s="736">
        <f t="shared" si="78"/>
        <v>14516456.314285733</v>
      </c>
      <c r="E1287" s="789">
        <f t="shared" si="83"/>
        <v>744433.65714285709</v>
      </c>
      <c r="F1287" s="736">
        <f t="shared" si="79"/>
        <v>13772022.657142876</v>
      </c>
      <c r="G1287" s="794">
        <f t="shared" si="80"/>
        <v>2788330.469788882</v>
      </c>
      <c r="H1287" s="795">
        <f t="shared" si="81"/>
        <v>2788330.469788882</v>
      </c>
      <c r="I1287" s="792">
        <f t="shared" si="82"/>
        <v>0</v>
      </c>
      <c r="J1287" s="792"/>
      <c r="K1287" s="812"/>
      <c r="L1287" s="796"/>
      <c r="M1287" s="812"/>
      <c r="N1287" s="796"/>
      <c r="O1287" s="796"/>
    </row>
    <row r="1288" spans="3:15">
      <c r="C1288" s="788">
        <f>IF(D1265="","-",+C1287+1)</f>
        <v>2033</v>
      </c>
      <c r="D1288" s="736">
        <f t="shared" si="78"/>
        <v>13772022.657142876</v>
      </c>
      <c r="E1288" s="789">
        <f t="shared" si="83"/>
        <v>744433.65714285709</v>
      </c>
      <c r="F1288" s="736">
        <f t="shared" si="79"/>
        <v>13027589.000000019</v>
      </c>
      <c r="G1288" s="794">
        <f t="shared" si="80"/>
        <v>2680756.9533338281</v>
      </c>
      <c r="H1288" s="795">
        <f t="shared" si="81"/>
        <v>2680756.9533338281</v>
      </c>
      <c r="I1288" s="792">
        <f t="shared" si="82"/>
        <v>0</v>
      </c>
      <c r="J1288" s="792"/>
      <c r="K1288" s="812"/>
      <c r="L1288" s="796"/>
      <c r="M1288" s="812"/>
      <c r="N1288" s="796"/>
      <c r="O1288" s="796"/>
    </row>
    <row r="1289" spans="3:15">
      <c r="C1289" s="788">
        <f>IF(D1265="","-",+C1288+1)</f>
        <v>2034</v>
      </c>
      <c r="D1289" s="736">
        <f t="shared" si="78"/>
        <v>13027589.000000019</v>
      </c>
      <c r="E1289" s="789">
        <f t="shared" si="83"/>
        <v>744433.65714285709</v>
      </c>
      <c r="F1289" s="736">
        <f t="shared" si="79"/>
        <v>12283155.342857162</v>
      </c>
      <c r="G1289" s="794">
        <f t="shared" si="80"/>
        <v>2573183.4368787743</v>
      </c>
      <c r="H1289" s="795">
        <f t="shared" si="81"/>
        <v>2573183.4368787743</v>
      </c>
      <c r="I1289" s="792">
        <f t="shared" si="82"/>
        <v>0</v>
      </c>
      <c r="J1289" s="792"/>
      <c r="K1289" s="812"/>
      <c r="L1289" s="796"/>
      <c r="M1289" s="812"/>
      <c r="N1289" s="796"/>
      <c r="O1289" s="796"/>
    </row>
    <row r="1290" spans="3:15">
      <c r="C1290" s="788">
        <f>IF(D1265="","-",+C1289+1)</f>
        <v>2035</v>
      </c>
      <c r="D1290" s="736">
        <f t="shared" si="78"/>
        <v>12283155.342857162</v>
      </c>
      <c r="E1290" s="789">
        <f t="shared" si="83"/>
        <v>744433.65714285709</v>
      </c>
      <c r="F1290" s="736">
        <f t="shared" si="79"/>
        <v>11538721.685714304</v>
      </c>
      <c r="G1290" s="794">
        <f t="shared" si="80"/>
        <v>2465609.9204237205</v>
      </c>
      <c r="H1290" s="795">
        <f t="shared" si="81"/>
        <v>2465609.9204237205</v>
      </c>
      <c r="I1290" s="792">
        <f t="shared" si="82"/>
        <v>0</v>
      </c>
      <c r="J1290" s="792"/>
      <c r="K1290" s="812"/>
      <c r="L1290" s="796"/>
      <c r="M1290" s="812"/>
      <c r="N1290" s="796"/>
      <c r="O1290" s="796"/>
    </row>
    <row r="1291" spans="3:15">
      <c r="C1291" s="788">
        <f>IF(D1265="","-",+C1290+1)</f>
        <v>2036</v>
      </c>
      <c r="D1291" s="736">
        <f t="shared" si="78"/>
        <v>11538721.685714304</v>
      </c>
      <c r="E1291" s="789">
        <f t="shared" si="83"/>
        <v>744433.65714285709</v>
      </c>
      <c r="F1291" s="736">
        <f t="shared" si="79"/>
        <v>10794288.028571447</v>
      </c>
      <c r="G1291" s="794">
        <f t="shared" si="80"/>
        <v>2358036.4039686667</v>
      </c>
      <c r="H1291" s="795">
        <f t="shared" si="81"/>
        <v>2358036.4039686667</v>
      </c>
      <c r="I1291" s="792">
        <f t="shared" si="82"/>
        <v>0</v>
      </c>
      <c r="J1291" s="792"/>
      <c r="K1291" s="812"/>
      <c r="L1291" s="796"/>
      <c r="M1291" s="812"/>
      <c r="N1291" s="796"/>
      <c r="O1291" s="796"/>
    </row>
    <row r="1292" spans="3:15">
      <c r="C1292" s="788">
        <f>IF(D1265="","-",+C1291+1)</f>
        <v>2037</v>
      </c>
      <c r="D1292" s="736">
        <f t="shared" si="78"/>
        <v>10794288.028571447</v>
      </c>
      <c r="E1292" s="789">
        <f t="shared" si="83"/>
        <v>744433.65714285709</v>
      </c>
      <c r="F1292" s="736">
        <f t="shared" si="79"/>
        <v>10049854.37142859</v>
      </c>
      <c r="G1292" s="794">
        <f t="shared" si="80"/>
        <v>2250462.8875136129</v>
      </c>
      <c r="H1292" s="795">
        <f t="shared" si="81"/>
        <v>2250462.8875136129</v>
      </c>
      <c r="I1292" s="792">
        <f t="shared" si="82"/>
        <v>0</v>
      </c>
      <c r="J1292" s="792"/>
      <c r="K1292" s="812"/>
      <c r="L1292" s="796"/>
      <c r="M1292" s="812"/>
      <c r="N1292" s="796"/>
      <c r="O1292" s="796"/>
    </row>
    <row r="1293" spans="3:15">
      <c r="C1293" s="788">
        <f>IF(D1265="","-",+C1292+1)</f>
        <v>2038</v>
      </c>
      <c r="D1293" s="736">
        <f t="shared" si="78"/>
        <v>10049854.37142859</v>
      </c>
      <c r="E1293" s="789">
        <f t="shared" si="83"/>
        <v>744433.65714285709</v>
      </c>
      <c r="F1293" s="736">
        <f t="shared" si="79"/>
        <v>9305420.7142857332</v>
      </c>
      <c r="G1293" s="794">
        <f t="shared" si="80"/>
        <v>2142889.371058559</v>
      </c>
      <c r="H1293" s="795">
        <f t="shared" si="81"/>
        <v>2142889.371058559</v>
      </c>
      <c r="I1293" s="792">
        <f t="shared" si="82"/>
        <v>0</v>
      </c>
      <c r="J1293" s="792"/>
      <c r="K1293" s="812"/>
      <c r="L1293" s="796"/>
      <c r="M1293" s="812"/>
      <c r="N1293" s="796"/>
      <c r="O1293" s="796"/>
    </row>
    <row r="1294" spans="3:15">
      <c r="C1294" s="788">
        <f>IF(D1265="","-",+C1293+1)</f>
        <v>2039</v>
      </c>
      <c r="D1294" s="736">
        <f t="shared" si="78"/>
        <v>9305420.7142857332</v>
      </c>
      <c r="E1294" s="789">
        <f t="shared" si="83"/>
        <v>744433.65714285709</v>
      </c>
      <c r="F1294" s="736">
        <f t="shared" si="79"/>
        <v>8560987.0571428761</v>
      </c>
      <c r="G1294" s="794">
        <f t="shared" si="80"/>
        <v>2035315.8546035052</v>
      </c>
      <c r="H1294" s="795">
        <f t="shared" si="81"/>
        <v>2035315.8546035052</v>
      </c>
      <c r="I1294" s="792">
        <f t="shared" si="82"/>
        <v>0</v>
      </c>
      <c r="J1294" s="792"/>
      <c r="K1294" s="812"/>
      <c r="L1294" s="796"/>
      <c r="M1294" s="812"/>
      <c r="N1294" s="796"/>
      <c r="O1294" s="796"/>
    </row>
    <row r="1295" spans="3:15">
      <c r="C1295" s="788">
        <f>IF(D1265="","-",+C1294+1)</f>
        <v>2040</v>
      </c>
      <c r="D1295" s="736">
        <f t="shared" si="78"/>
        <v>8560987.0571428761</v>
      </c>
      <c r="E1295" s="789">
        <f t="shared" si="83"/>
        <v>744433.65714285709</v>
      </c>
      <c r="F1295" s="736">
        <f t="shared" si="79"/>
        <v>7816553.400000019</v>
      </c>
      <c r="G1295" s="794">
        <f t="shared" si="80"/>
        <v>1927742.3381484516</v>
      </c>
      <c r="H1295" s="795">
        <f t="shared" si="81"/>
        <v>1927742.3381484516</v>
      </c>
      <c r="I1295" s="792">
        <f t="shared" si="82"/>
        <v>0</v>
      </c>
      <c r="J1295" s="792"/>
      <c r="K1295" s="812"/>
      <c r="L1295" s="796"/>
      <c r="M1295" s="812"/>
      <c r="N1295" s="796"/>
      <c r="O1295" s="796"/>
    </row>
    <row r="1296" spans="3:15">
      <c r="C1296" s="788">
        <f>IF(D1265="","-",+C1295+1)</f>
        <v>2041</v>
      </c>
      <c r="D1296" s="736">
        <f t="shared" si="78"/>
        <v>7816553.400000019</v>
      </c>
      <c r="E1296" s="789">
        <f t="shared" si="83"/>
        <v>744433.65714285709</v>
      </c>
      <c r="F1296" s="736">
        <f t="shared" si="79"/>
        <v>7072119.7428571619</v>
      </c>
      <c r="G1296" s="794">
        <f t="shared" si="80"/>
        <v>1820168.8216933978</v>
      </c>
      <c r="H1296" s="795">
        <f t="shared" si="81"/>
        <v>1820168.8216933978</v>
      </c>
      <c r="I1296" s="792">
        <f t="shared" si="82"/>
        <v>0</v>
      </c>
      <c r="J1296" s="792"/>
      <c r="K1296" s="812"/>
      <c r="L1296" s="796"/>
      <c r="M1296" s="812"/>
      <c r="N1296" s="796"/>
      <c r="O1296" s="796"/>
    </row>
    <row r="1297" spans="3:15">
      <c r="C1297" s="788">
        <f>IF(D1265="","-",+C1296+1)</f>
        <v>2042</v>
      </c>
      <c r="D1297" s="736">
        <f t="shared" si="78"/>
        <v>7072119.7428571619</v>
      </c>
      <c r="E1297" s="789">
        <f t="shared" si="83"/>
        <v>744433.65714285709</v>
      </c>
      <c r="F1297" s="736">
        <f t="shared" si="79"/>
        <v>6327686.0857143048</v>
      </c>
      <c r="G1297" s="794">
        <f t="shared" si="80"/>
        <v>1712595.305238344</v>
      </c>
      <c r="H1297" s="795">
        <f t="shared" si="81"/>
        <v>1712595.305238344</v>
      </c>
      <c r="I1297" s="792">
        <f t="shared" si="82"/>
        <v>0</v>
      </c>
      <c r="J1297" s="792"/>
      <c r="K1297" s="812"/>
      <c r="L1297" s="796"/>
      <c r="M1297" s="812"/>
      <c r="N1297" s="796"/>
      <c r="O1297" s="796"/>
    </row>
    <row r="1298" spans="3:15">
      <c r="C1298" s="788">
        <f>IF(D1265="","-",+C1297+1)</f>
        <v>2043</v>
      </c>
      <c r="D1298" s="736">
        <f t="shared" si="78"/>
        <v>6327686.0857143048</v>
      </c>
      <c r="E1298" s="789">
        <f t="shared" si="83"/>
        <v>744433.65714285709</v>
      </c>
      <c r="F1298" s="736">
        <f t="shared" si="79"/>
        <v>5583252.4285714477</v>
      </c>
      <c r="G1298" s="794">
        <f t="shared" si="80"/>
        <v>1605021.7887832904</v>
      </c>
      <c r="H1298" s="795">
        <f t="shared" si="81"/>
        <v>1605021.7887832904</v>
      </c>
      <c r="I1298" s="792">
        <f t="shared" si="82"/>
        <v>0</v>
      </c>
      <c r="J1298" s="792"/>
      <c r="K1298" s="812"/>
      <c r="L1298" s="796"/>
      <c r="M1298" s="812"/>
      <c r="N1298" s="796"/>
      <c r="O1298" s="796"/>
    </row>
    <row r="1299" spans="3:15">
      <c r="C1299" s="788">
        <f>IF(D1265="","-",+C1298+1)</f>
        <v>2044</v>
      </c>
      <c r="D1299" s="736">
        <f t="shared" si="78"/>
        <v>5583252.4285714477</v>
      </c>
      <c r="E1299" s="789">
        <f t="shared" si="83"/>
        <v>744433.65714285709</v>
      </c>
      <c r="F1299" s="736">
        <f t="shared" si="79"/>
        <v>4838818.7714285906</v>
      </c>
      <c r="G1299" s="790">
        <f t="shared" si="80"/>
        <v>1497448.2723282366</v>
      </c>
      <c r="H1299" s="795">
        <f t="shared" si="81"/>
        <v>1497448.2723282366</v>
      </c>
      <c r="I1299" s="792">
        <f t="shared" si="82"/>
        <v>0</v>
      </c>
      <c r="J1299" s="792"/>
      <c r="K1299" s="812"/>
      <c r="L1299" s="796"/>
      <c r="M1299" s="812"/>
      <c r="N1299" s="796"/>
      <c r="O1299" s="796"/>
    </row>
    <row r="1300" spans="3:15">
      <c r="C1300" s="788">
        <f>IF(D1265="","-",+C1299+1)</f>
        <v>2045</v>
      </c>
      <c r="D1300" s="736">
        <f t="shared" si="78"/>
        <v>4838818.7714285906</v>
      </c>
      <c r="E1300" s="789">
        <f t="shared" si="83"/>
        <v>744433.65714285709</v>
      </c>
      <c r="F1300" s="736">
        <f t="shared" si="79"/>
        <v>4094385.1142857336</v>
      </c>
      <c r="G1300" s="794">
        <f t="shared" si="80"/>
        <v>1389874.7558731828</v>
      </c>
      <c r="H1300" s="795">
        <f t="shared" si="81"/>
        <v>1389874.7558731828</v>
      </c>
      <c r="I1300" s="792">
        <f t="shared" si="82"/>
        <v>0</v>
      </c>
      <c r="J1300" s="792"/>
      <c r="K1300" s="812"/>
      <c r="L1300" s="796"/>
      <c r="M1300" s="812"/>
      <c r="N1300" s="796"/>
      <c r="O1300" s="796"/>
    </row>
    <row r="1301" spans="3:15">
      <c r="C1301" s="788">
        <f>IF(D1265="","-",+C1300+1)</f>
        <v>2046</v>
      </c>
      <c r="D1301" s="736">
        <f t="shared" si="78"/>
        <v>4094385.1142857336</v>
      </c>
      <c r="E1301" s="789">
        <f t="shared" si="83"/>
        <v>744433.65714285709</v>
      </c>
      <c r="F1301" s="736">
        <f t="shared" si="79"/>
        <v>3349951.4571428765</v>
      </c>
      <c r="G1301" s="794">
        <f t="shared" si="80"/>
        <v>1282301.239418129</v>
      </c>
      <c r="H1301" s="795">
        <f t="shared" si="81"/>
        <v>1282301.239418129</v>
      </c>
      <c r="I1301" s="792">
        <f t="shared" si="82"/>
        <v>0</v>
      </c>
      <c r="J1301" s="792"/>
      <c r="K1301" s="812"/>
      <c r="L1301" s="796"/>
      <c r="M1301" s="812"/>
      <c r="N1301" s="796"/>
      <c r="O1301" s="796"/>
    </row>
    <row r="1302" spans="3:15">
      <c r="C1302" s="788">
        <f>IF(D1265="","-",+C1301+1)</f>
        <v>2047</v>
      </c>
      <c r="D1302" s="736">
        <f t="shared" si="78"/>
        <v>3349951.4571428765</v>
      </c>
      <c r="E1302" s="789">
        <f t="shared" si="83"/>
        <v>744433.65714285709</v>
      </c>
      <c r="F1302" s="736">
        <f t="shared" si="79"/>
        <v>2605517.8000000194</v>
      </c>
      <c r="G1302" s="794">
        <f t="shared" si="80"/>
        <v>1174727.7229630752</v>
      </c>
      <c r="H1302" s="795">
        <f t="shared" si="81"/>
        <v>1174727.7229630752</v>
      </c>
      <c r="I1302" s="792">
        <f t="shared" si="82"/>
        <v>0</v>
      </c>
      <c r="J1302" s="792"/>
      <c r="K1302" s="812"/>
      <c r="L1302" s="796"/>
      <c r="M1302" s="812"/>
      <c r="N1302" s="796"/>
      <c r="O1302" s="796"/>
    </row>
    <row r="1303" spans="3:15">
      <c r="C1303" s="788">
        <f>IF(D1265="","-",+C1302+1)</f>
        <v>2048</v>
      </c>
      <c r="D1303" s="736">
        <f t="shared" si="78"/>
        <v>2605517.8000000194</v>
      </c>
      <c r="E1303" s="789">
        <f t="shared" si="83"/>
        <v>744433.65714285709</v>
      </c>
      <c r="F1303" s="736">
        <f t="shared" si="79"/>
        <v>1861084.1428571623</v>
      </c>
      <c r="G1303" s="794">
        <f t="shared" si="80"/>
        <v>1067154.2065080213</v>
      </c>
      <c r="H1303" s="795">
        <f t="shared" si="81"/>
        <v>1067154.2065080213</v>
      </c>
      <c r="I1303" s="792">
        <f t="shared" si="82"/>
        <v>0</v>
      </c>
      <c r="J1303" s="792"/>
      <c r="K1303" s="812"/>
      <c r="L1303" s="796"/>
      <c r="M1303" s="812"/>
      <c r="N1303" s="796"/>
      <c r="O1303" s="796"/>
    </row>
    <row r="1304" spans="3:15">
      <c r="C1304" s="788">
        <f>IF(D1265="","-",+C1303+1)</f>
        <v>2049</v>
      </c>
      <c r="D1304" s="736">
        <f t="shared" si="78"/>
        <v>1861084.1428571623</v>
      </c>
      <c r="E1304" s="789">
        <f t="shared" si="83"/>
        <v>744433.65714285709</v>
      </c>
      <c r="F1304" s="736">
        <f t="shared" si="79"/>
        <v>1116650.4857143052</v>
      </c>
      <c r="G1304" s="794">
        <f t="shared" si="80"/>
        <v>959580.69005296752</v>
      </c>
      <c r="H1304" s="795">
        <f t="shared" si="81"/>
        <v>959580.69005296752</v>
      </c>
      <c r="I1304" s="792">
        <f t="shared" si="82"/>
        <v>0</v>
      </c>
      <c r="J1304" s="792"/>
      <c r="K1304" s="812"/>
      <c r="L1304" s="796"/>
      <c r="M1304" s="812"/>
      <c r="N1304" s="796"/>
      <c r="O1304" s="796"/>
    </row>
    <row r="1305" spans="3:15">
      <c r="C1305" s="788">
        <f>IF(D1265="","-",+C1304+1)</f>
        <v>2050</v>
      </c>
      <c r="D1305" s="736">
        <f t="shared" si="78"/>
        <v>1116650.4857143052</v>
      </c>
      <c r="E1305" s="789">
        <f t="shared" si="83"/>
        <v>744433.65714285709</v>
      </c>
      <c r="F1305" s="736">
        <f t="shared" si="79"/>
        <v>372216.8285714481</v>
      </c>
      <c r="G1305" s="794">
        <f t="shared" si="80"/>
        <v>852007.1735979137</v>
      </c>
      <c r="H1305" s="795">
        <f t="shared" si="81"/>
        <v>852007.1735979137</v>
      </c>
      <c r="I1305" s="792">
        <f t="shared" si="82"/>
        <v>0</v>
      </c>
      <c r="J1305" s="792"/>
      <c r="K1305" s="812"/>
      <c r="L1305" s="796"/>
      <c r="M1305" s="812"/>
      <c r="N1305" s="796"/>
      <c r="O1305" s="796"/>
    </row>
    <row r="1306" spans="3:15">
      <c r="C1306" s="788">
        <f>IF(D1265="","-",+C1305+1)</f>
        <v>2051</v>
      </c>
      <c r="D1306" s="736">
        <f t="shared" si="78"/>
        <v>372216.8285714481</v>
      </c>
      <c r="E1306" s="789">
        <f t="shared" si="83"/>
        <v>372216.8285714481</v>
      </c>
      <c r="F1306" s="736">
        <f t="shared" si="79"/>
        <v>0</v>
      </c>
      <c r="G1306" s="794">
        <f t="shared" si="80"/>
        <v>399110.20768521295</v>
      </c>
      <c r="H1306" s="795">
        <f t="shared" si="81"/>
        <v>399110.20768521295</v>
      </c>
      <c r="I1306" s="792">
        <f t="shared" si="82"/>
        <v>0</v>
      </c>
      <c r="J1306" s="792"/>
      <c r="K1306" s="812"/>
      <c r="L1306" s="796"/>
      <c r="M1306" s="812"/>
      <c r="N1306" s="796"/>
      <c r="O1306" s="796"/>
    </row>
    <row r="1307" spans="3:15">
      <c r="C1307" s="788">
        <f>IF(D1265="","-",+C1306+1)</f>
        <v>2052</v>
      </c>
      <c r="D1307" s="736">
        <f t="shared" si="78"/>
        <v>0</v>
      </c>
      <c r="E1307" s="789">
        <f t="shared" si="83"/>
        <v>0</v>
      </c>
      <c r="F1307" s="736">
        <f t="shared" si="79"/>
        <v>0</v>
      </c>
      <c r="G1307" s="794">
        <f t="shared" si="80"/>
        <v>0</v>
      </c>
      <c r="H1307" s="795">
        <f t="shared" si="81"/>
        <v>0</v>
      </c>
      <c r="I1307" s="792">
        <f t="shared" si="82"/>
        <v>0</v>
      </c>
      <c r="J1307" s="792"/>
      <c r="K1307" s="812"/>
      <c r="L1307" s="796"/>
      <c r="M1307" s="812"/>
      <c r="N1307" s="796"/>
      <c r="O1307" s="796"/>
    </row>
    <row r="1308" spans="3:15">
      <c r="C1308" s="788">
        <f>IF(D1265="","-",+C1307+1)</f>
        <v>2053</v>
      </c>
      <c r="D1308" s="736">
        <f t="shared" si="78"/>
        <v>0</v>
      </c>
      <c r="E1308" s="789">
        <f t="shared" si="83"/>
        <v>0</v>
      </c>
      <c r="F1308" s="736">
        <f t="shared" si="79"/>
        <v>0</v>
      </c>
      <c r="G1308" s="794">
        <f t="shared" si="80"/>
        <v>0</v>
      </c>
      <c r="H1308" s="795">
        <f t="shared" si="81"/>
        <v>0</v>
      </c>
      <c r="I1308" s="792">
        <f t="shared" si="82"/>
        <v>0</v>
      </c>
      <c r="J1308" s="792"/>
      <c r="K1308" s="812"/>
      <c r="L1308" s="796"/>
      <c r="M1308" s="812"/>
      <c r="N1308" s="796"/>
      <c r="O1308" s="796"/>
    </row>
    <row r="1309" spans="3:15">
      <c r="C1309" s="788">
        <f>IF(D1265="","-",+C1308+1)</f>
        <v>2054</v>
      </c>
      <c r="D1309" s="736">
        <f t="shared" si="78"/>
        <v>0</v>
      </c>
      <c r="E1309" s="789">
        <f t="shared" si="83"/>
        <v>0</v>
      </c>
      <c r="F1309" s="736">
        <f t="shared" si="79"/>
        <v>0</v>
      </c>
      <c r="G1309" s="794">
        <f t="shared" si="80"/>
        <v>0</v>
      </c>
      <c r="H1309" s="795">
        <f t="shared" si="81"/>
        <v>0</v>
      </c>
      <c r="I1309" s="792">
        <f t="shared" si="82"/>
        <v>0</v>
      </c>
      <c r="J1309" s="792"/>
      <c r="K1309" s="812"/>
      <c r="L1309" s="796"/>
      <c r="M1309" s="812"/>
      <c r="N1309" s="796"/>
      <c r="O1309" s="796"/>
    </row>
    <row r="1310" spans="3:15">
      <c r="C1310" s="788">
        <f>IF(D1265="","-",+C1309+1)</f>
        <v>2055</v>
      </c>
      <c r="D1310" s="736">
        <f t="shared" si="78"/>
        <v>0</v>
      </c>
      <c r="E1310" s="789">
        <f t="shared" si="83"/>
        <v>0</v>
      </c>
      <c r="F1310" s="736">
        <f t="shared" si="79"/>
        <v>0</v>
      </c>
      <c r="G1310" s="794">
        <f t="shared" si="80"/>
        <v>0</v>
      </c>
      <c r="H1310" s="795">
        <f t="shared" si="81"/>
        <v>0</v>
      </c>
      <c r="I1310" s="792">
        <f t="shared" si="82"/>
        <v>0</v>
      </c>
      <c r="J1310" s="792"/>
      <c r="K1310" s="812"/>
      <c r="L1310" s="796"/>
      <c r="M1310" s="812"/>
      <c r="N1310" s="796"/>
      <c r="O1310" s="796"/>
    </row>
    <row r="1311" spans="3:15">
      <c r="C1311" s="788">
        <f>IF(D1265="","-",+C1310+1)</f>
        <v>2056</v>
      </c>
      <c r="D1311" s="736">
        <f t="shared" si="78"/>
        <v>0</v>
      </c>
      <c r="E1311" s="789">
        <f t="shared" si="83"/>
        <v>0</v>
      </c>
      <c r="F1311" s="736">
        <f t="shared" si="79"/>
        <v>0</v>
      </c>
      <c r="G1311" s="794">
        <f t="shared" si="80"/>
        <v>0</v>
      </c>
      <c r="H1311" s="795">
        <f t="shared" si="81"/>
        <v>0</v>
      </c>
      <c r="I1311" s="792">
        <f t="shared" si="82"/>
        <v>0</v>
      </c>
      <c r="J1311" s="792"/>
      <c r="K1311" s="812"/>
      <c r="L1311" s="796"/>
      <c r="M1311" s="812"/>
      <c r="N1311" s="796"/>
      <c r="O1311" s="796"/>
    </row>
    <row r="1312" spans="3:15">
      <c r="C1312" s="788">
        <f>IF(D1265="","-",+C1311+1)</f>
        <v>2057</v>
      </c>
      <c r="D1312" s="736">
        <f t="shared" si="78"/>
        <v>0</v>
      </c>
      <c r="E1312" s="789">
        <f t="shared" si="83"/>
        <v>0</v>
      </c>
      <c r="F1312" s="736">
        <f t="shared" si="79"/>
        <v>0</v>
      </c>
      <c r="G1312" s="794">
        <f t="shared" si="80"/>
        <v>0</v>
      </c>
      <c r="H1312" s="795">
        <f t="shared" si="81"/>
        <v>0</v>
      </c>
      <c r="I1312" s="792">
        <f t="shared" si="82"/>
        <v>0</v>
      </c>
      <c r="J1312" s="792"/>
      <c r="K1312" s="812"/>
      <c r="L1312" s="796"/>
      <c r="M1312" s="812"/>
      <c r="N1312" s="796"/>
      <c r="O1312" s="796"/>
    </row>
    <row r="1313" spans="3:15">
      <c r="C1313" s="788">
        <f>IF(D1265="","-",+C1312+1)</f>
        <v>2058</v>
      </c>
      <c r="D1313" s="736">
        <f t="shared" si="78"/>
        <v>0</v>
      </c>
      <c r="E1313" s="789">
        <f t="shared" si="83"/>
        <v>0</v>
      </c>
      <c r="F1313" s="736">
        <f t="shared" si="79"/>
        <v>0</v>
      </c>
      <c r="G1313" s="794">
        <f t="shared" si="80"/>
        <v>0</v>
      </c>
      <c r="H1313" s="795">
        <f t="shared" si="81"/>
        <v>0</v>
      </c>
      <c r="I1313" s="792">
        <f t="shared" si="82"/>
        <v>0</v>
      </c>
      <c r="J1313" s="792"/>
      <c r="K1313" s="812"/>
      <c r="L1313" s="796"/>
      <c r="M1313" s="812"/>
      <c r="N1313" s="796"/>
      <c r="O1313" s="796"/>
    </row>
    <row r="1314" spans="3:15">
      <c r="C1314" s="788">
        <f>IF(D1265="","-",+C1313+1)</f>
        <v>2059</v>
      </c>
      <c r="D1314" s="736">
        <f t="shared" si="78"/>
        <v>0</v>
      </c>
      <c r="E1314" s="789">
        <f t="shared" si="83"/>
        <v>0</v>
      </c>
      <c r="F1314" s="736">
        <f t="shared" si="79"/>
        <v>0</v>
      </c>
      <c r="G1314" s="794">
        <f t="shared" si="80"/>
        <v>0</v>
      </c>
      <c r="H1314" s="795">
        <f t="shared" si="81"/>
        <v>0</v>
      </c>
      <c r="I1314" s="792">
        <f t="shared" si="82"/>
        <v>0</v>
      </c>
      <c r="J1314" s="792"/>
      <c r="K1314" s="812"/>
      <c r="L1314" s="796"/>
      <c r="M1314" s="812"/>
      <c r="N1314" s="796"/>
      <c r="O1314" s="796"/>
    </row>
    <row r="1315" spans="3:15">
      <c r="C1315" s="788">
        <f>IF(D1265="","-",+C1314+1)</f>
        <v>2060</v>
      </c>
      <c r="D1315" s="736">
        <f t="shared" si="78"/>
        <v>0</v>
      </c>
      <c r="E1315" s="789">
        <f t="shared" si="83"/>
        <v>0</v>
      </c>
      <c r="F1315" s="736">
        <f t="shared" si="79"/>
        <v>0</v>
      </c>
      <c r="G1315" s="794">
        <f t="shared" si="80"/>
        <v>0</v>
      </c>
      <c r="H1315" s="795">
        <f t="shared" si="81"/>
        <v>0</v>
      </c>
      <c r="I1315" s="792">
        <f t="shared" si="82"/>
        <v>0</v>
      </c>
      <c r="J1315" s="792"/>
      <c r="K1315" s="812"/>
      <c r="L1315" s="796"/>
      <c r="M1315" s="812"/>
      <c r="N1315" s="796"/>
      <c r="O1315" s="796"/>
    </row>
    <row r="1316" spans="3:15">
      <c r="C1316" s="788">
        <f>IF(D1265="","-",+C1315+1)</f>
        <v>2061</v>
      </c>
      <c r="D1316" s="736">
        <f t="shared" si="78"/>
        <v>0</v>
      </c>
      <c r="E1316" s="789">
        <f t="shared" si="83"/>
        <v>0</v>
      </c>
      <c r="F1316" s="736">
        <f t="shared" si="79"/>
        <v>0</v>
      </c>
      <c r="G1316" s="794">
        <f t="shared" si="80"/>
        <v>0</v>
      </c>
      <c r="H1316" s="795">
        <f t="shared" si="81"/>
        <v>0</v>
      </c>
      <c r="I1316" s="792">
        <f t="shared" si="82"/>
        <v>0</v>
      </c>
      <c r="J1316" s="792"/>
      <c r="K1316" s="812"/>
      <c r="L1316" s="796"/>
      <c r="M1316" s="812"/>
      <c r="N1316" s="796"/>
      <c r="O1316" s="796"/>
    </row>
    <row r="1317" spans="3:15">
      <c r="C1317" s="788">
        <f>IF(D1265="","-",+C1316+1)</f>
        <v>2062</v>
      </c>
      <c r="D1317" s="736">
        <f t="shared" si="78"/>
        <v>0</v>
      </c>
      <c r="E1317" s="789">
        <f t="shared" si="83"/>
        <v>0</v>
      </c>
      <c r="F1317" s="736">
        <f t="shared" si="79"/>
        <v>0</v>
      </c>
      <c r="G1317" s="794">
        <f t="shared" si="80"/>
        <v>0</v>
      </c>
      <c r="H1317" s="795">
        <f t="shared" si="81"/>
        <v>0</v>
      </c>
      <c r="I1317" s="792">
        <f t="shared" si="82"/>
        <v>0</v>
      </c>
      <c r="J1317" s="792"/>
      <c r="K1317" s="812"/>
      <c r="L1317" s="796"/>
      <c r="M1317" s="812"/>
      <c r="N1317" s="796"/>
      <c r="O1317" s="796"/>
    </row>
    <row r="1318" spans="3:15">
      <c r="C1318" s="788">
        <f>IF(D1265="","-",+C1317+1)</f>
        <v>2063</v>
      </c>
      <c r="D1318" s="736">
        <f t="shared" si="78"/>
        <v>0</v>
      </c>
      <c r="E1318" s="789">
        <f t="shared" si="83"/>
        <v>0</v>
      </c>
      <c r="F1318" s="736">
        <f t="shared" si="79"/>
        <v>0</v>
      </c>
      <c r="G1318" s="794">
        <f t="shared" si="80"/>
        <v>0</v>
      </c>
      <c r="H1318" s="795">
        <f t="shared" si="81"/>
        <v>0</v>
      </c>
      <c r="I1318" s="792">
        <f t="shared" si="82"/>
        <v>0</v>
      </c>
      <c r="J1318" s="792"/>
      <c r="K1318" s="812"/>
      <c r="L1318" s="796"/>
      <c r="M1318" s="812"/>
      <c r="N1318" s="796"/>
      <c r="O1318" s="796"/>
    </row>
    <row r="1319" spans="3:15">
      <c r="C1319" s="788">
        <f>IF(D1265="","-",+C1318+1)</f>
        <v>2064</v>
      </c>
      <c r="D1319" s="736">
        <f t="shared" si="78"/>
        <v>0</v>
      </c>
      <c r="E1319" s="789">
        <f t="shared" si="83"/>
        <v>0</v>
      </c>
      <c r="F1319" s="736">
        <f t="shared" si="79"/>
        <v>0</v>
      </c>
      <c r="G1319" s="794">
        <f t="shared" si="80"/>
        <v>0</v>
      </c>
      <c r="H1319" s="795">
        <f t="shared" si="81"/>
        <v>0</v>
      </c>
      <c r="I1319" s="792">
        <f t="shared" si="82"/>
        <v>0</v>
      </c>
      <c r="J1319" s="792"/>
      <c r="K1319" s="812"/>
      <c r="L1319" s="796"/>
      <c r="M1319" s="812"/>
      <c r="N1319" s="796"/>
      <c r="O1319" s="796"/>
    </row>
    <row r="1320" spans="3:15">
      <c r="C1320" s="788">
        <f>IF(D1265="","-",+C1319+1)</f>
        <v>2065</v>
      </c>
      <c r="D1320" s="736">
        <f t="shared" si="78"/>
        <v>0</v>
      </c>
      <c r="E1320" s="789">
        <f t="shared" si="83"/>
        <v>0</v>
      </c>
      <c r="F1320" s="736">
        <f t="shared" si="79"/>
        <v>0</v>
      </c>
      <c r="G1320" s="794">
        <f t="shared" si="80"/>
        <v>0</v>
      </c>
      <c r="H1320" s="795">
        <f t="shared" si="81"/>
        <v>0</v>
      </c>
      <c r="I1320" s="792">
        <f t="shared" si="82"/>
        <v>0</v>
      </c>
      <c r="J1320" s="792"/>
      <c r="K1320" s="812"/>
      <c r="L1320" s="796"/>
      <c r="M1320" s="812"/>
      <c r="N1320" s="796"/>
      <c r="O1320" s="796"/>
    </row>
    <row r="1321" spans="3:15">
      <c r="C1321" s="788">
        <f>IF(D1265="","-",+C1320+1)</f>
        <v>2066</v>
      </c>
      <c r="D1321" s="736">
        <f t="shared" si="78"/>
        <v>0</v>
      </c>
      <c r="E1321" s="789">
        <f t="shared" si="83"/>
        <v>0</v>
      </c>
      <c r="F1321" s="736">
        <f t="shared" si="79"/>
        <v>0</v>
      </c>
      <c r="G1321" s="794">
        <f t="shared" si="80"/>
        <v>0</v>
      </c>
      <c r="H1321" s="795">
        <f t="shared" si="81"/>
        <v>0</v>
      </c>
      <c r="I1321" s="792">
        <f t="shared" si="82"/>
        <v>0</v>
      </c>
      <c r="J1321" s="792"/>
      <c r="K1321" s="812"/>
      <c r="L1321" s="796"/>
      <c r="M1321" s="812"/>
      <c r="N1321" s="796"/>
      <c r="O1321" s="796"/>
    </row>
    <row r="1322" spans="3:15">
      <c r="C1322" s="788">
        <f>IF(D1265="","-",+C1321+1)</f>
        <v>2067</v>
      </c>
      <c r="D1322" s="736">
        <f t="shared" si="78"/>
        <v>0</v>
      </c>
      <c r="E1322" s="789">
        <f t="shared" si="83"/>
        <v>0</v>
      </c>
      <c r="F1322" s="736">
        <f t="shared" si="79"/>
        <v>0</v>
      </c>
      <c r="G1322" s="794">
        <f t="shared" si="80"/>
        <v>0</v>
      </c>
      <c r="H1322" s="795">
        <f t="shared" si="81"/>
        <v>0</v>
      </c>
      <c r="I1322" s="792">
        <f t="shared" si="82"/>
        <v>0</v>
      </c>
      <c r="J1322" s="792"/>
      <c r="K1322" s="812"/>
      <c r="L1322" s="796"/>
      <c r="M1322" s="812"/>
      <c r="N1322" s="796"/>
      <c r="O1322" s="796"/>
    </row>
    <row r="1323" spans="3:15">
      <c r="C1323" s="788">
        <f>IF(D1265="","-",+C1322+1)</f>
        <v>2068</v>
      </c>
      <c r="D1323" s="736">
        <f t="shared" si="78"/>
        <v>0</v>
      </c>
      <c r="E1323" s="789">
        <f t="shared" si="83"/>
        <v>0</v>
      </c>
      <c r="F1323" s="736">
        <f t="shared" si="79"/>
        <v>0</v>
      </c>
      <c r="G1323" s="794">
        <f t="shared" si="80"/>
        <v>0</v>
      </c>
      <c r="H1323" s="795">
        <f t="shared" si="81"/>
        <v>0</v>
      </c>
      <c r="I1323" s="792">
        <f t="shared" si="82"/>
        <v>0</v>
      </c>
      <c r="J1323" s="792"/>
      <c r="K1323" s="812"/>
      <c r="L1323" s="796"/>
      <c r="M1323" s="812"/>
      <c r="N1323" s="796"/>
      <c r="O1323" s="796"/>
    </row>
    <row r="1324" spans="3:15">
      <c r="C1324" s="788">
        <f>IF(D1265="","-",+C1323+1)</f>
        <v>2069</v>
      </c>
      <c r="D1324" s="736">
        <f t="shared" si="78"/>
        <v>0</v>
      </c>
      <c r="E1324" s="789">
        <f t="shared" si="83"/>
        <v>0</v>
      </c>
      <c r="F1324" s="736">
        <f t="shared" si="79"/>
        <v>0</v>
      </c>
      <c r="G1324" s="794">
        <f t="shared" si="80"/>
        <v>0</v>
      </c>
      <c r="H1324" s="795">
        <f t="shared" si="81"/>
        <v>0</v>
      </c>
      <c r="I1324" s="792">
        <f t="shared" si="82"/>
        <v>0</v>
      </c>
      <c r="J1324" s="792"/>
      <c r="K1324" s="812"/>
      <c r="L1324" s="796"/>
      <c r="M1324" s="812"/>
      <c r="N1324" s="796"/>
      <c r="O1324" s="796"/>
    </row>
    <row r="1325" spans="3:15">
      <c r="C1325" s="788">
        <f>IF(D1265="","-",+C1324+1)</f>
        <v>2070</v>
      </c>
      <c r="D1325" s="736">
        <f t="shared" si="78"/>
        <v>0</v>
      </c>
      <c r="E1325" s="789">
        <f t="shared" si="83"/>
        <v>0</v>
      </c>
      <c r="F1325" s="736">
        <f t="shared" si="79"/>
        <v>0</v>
      </c>
      <c r="G1325" s="794">
        <f t="shared" si="80"/>
        <v>0</v>
      </c>
      <c r="H1325" s="795">
        <f t="shared" si="81"/>
        <v>0</v>
      </c>
      <c r="I1325" s="792">
        <f t="shared" si="82"/>
        <v>0</v>
      </c>
      <c r="J1325" s="792"/>
      <c r="K1325" s="812"/>
      <c r="L1325" s="796"/>
      <c r="M1325" s="812"/>
      <c r="N1325" s="796"/>
      <c r="O1325" s="796"/>
    </row>
    <row r="1326" spans="3:15">
      <c r="C1326" s="788">
        <f>IF(D1265="","-",+C1325+1)</f>
        <v>2071</v>
      </c>
      <c r="D1326" s="736">
        <f t="shared" si="78"/>
        <v>0</v>
      </c>
      <c r="E1326" s="789">
        <f t="shared" si="83"/>
        <v>0</v>
      </c>
      <c r="F1326" s="736">
        <f t="shared" si="79"/>
        <v>0</v>
      </c>
      <c r="G1326" s="794">
        <f t="shared" si="80"/>
        <v>0</v>
      </c>
      <c r="H1326" s="795">
        <f t="shared" si="81"/>
        <v>0</v>
      </c>
      <c r="I1326" s="792">
        <f t="shared" si="82"/>
        <v>0</v>
      </c>
      <c r="J1326" s="792"/>
      <c r="K1326" s="812"/>
      <c r="L1326" s="796"/>
      <c r="M1326" s="812"/>
      <c r="N1326" s="796"/>
      <c r="O1326" s="796"/>
    </row>
    <row r="1327" spans="3:15">
      <c r="C1327" s="788">
        <f>IF(D1265="","-",+C1326+1)</f>
        <v>2072</v>
      </c>
      <c r="D1327" s="736">
        <f t="shared" si="78"/>
        <v>0</v>
      </c>
      <c r="E1327" s="789">
        <f t="shared" si="83"/>
        <v>0</v>
      </c>
      <c r="F1327" s="736">
        <f t="shared" si="79"/>
        <v>0</v>
      </c>
      <c r="G1327" s="794">
        <f t="shared" si="80"/>
        <v>0</v>
      </c>
      <c r="H1327" s="795">
        <f t="shared" si="81"/>
        <v>0</v>
      </c>
      <c r="I1327" s="792">
        <f t="shared" si="82"/>
        <v>0</v>
      </c>
      <c r="J1327" s="792"/>
      <c r="K1327" s="812"/>
      <c r="L1327" s="796"/>
      <c r="M1327" s="812"/>
      <c r="N1327" s="796"/>
      <c r="O1327" s="796"/>
    </row>
    <row r="1328" spans="3:15">
      <c r="C1328" s="788">
        <f>IF(D1265="","-",+C1327+1)</f>
        <v>2073</v>
      </c>
      <c r="D1328" s="736">
        <f t="shared" si="78"/>
        <v>0</v>
      </c>
      <c r="E1328" s="789">
        <f t="shared" si="83"/>
        <v>0</v>
      </c>
      <c r="F1328" s="736">
        <f t="shared" si="79"/>
        <v>0</v>
      </c>
      <c r="G1328" s="794">
        <f t="shared" si="80"/>
        <v>0</v>
      </c>
      <c r="H1328" s="795">
        <f t="shared" si="81"/>
        <v>0</v>
      </c>
      <c r="I1328" s="792">
        <f t="shared" si="82"/>
        <v>0</v>
      </c>
      <c r="J1328" s="792"/>
      <c r="K1328" s="812"/>
      <c r="L1328" s="796"/>
      <c r="M1328" s="812"/>
      <c r="N1328" s="796"/>
      <c r="O1328" s="796"/>
    </row>
    <row r="1329" spans="1:16">
      <c r="C1329" s="788">
        <f>IF(D1265="","-",+C1328+1)</f>
        <v>2074</v>
      </c>
      <c r="D1329" s="736">
        <f t="shared" si="78"/>
        <v>0</v>
      </c>
      <c r="E1329" s="789">
        <f t="shared" si="83"/>
        <v>0</v>
      </c>
      <c r="F1329" s="736">
        <f t="shared" si="79"/>
        <v>0</v>
      </c>
      <c r="G1329" s="794">
        <f t="shared" si="80"/>
        <v>0</v>
      </c>
      <c r="H1329" s="795">
        <f t="shared" si="81"/>
        <v>0</v>
      </c>
      <c r="I1329" s="792">
        <f t="shared" si="82"/>
        <v>0</v>
      </c>
      <c r="J1329" s="792"/>
      <c r="K1329" s="812"/>
      <c r="L1329" s="796"/>
      <c r="M1329" s="812"/>
      <c r="N1329" s="796"/>
      <c r="O1329" s="796"/>
    </row>
    <row r="1330" spans="1:16" ht="13.5" thickBot="1">
      <c r="C1330" s="798">
        <f>IF(D1265="","-",+C1329+1)</f>
        <v>2075</v>
      </c>
      <c r="D1330" s="799">
        <f t="shared" si="78"/>
        <v>0</v>
      </c>
      <c r="E1330" s="800">
        <f t="shared" si="83"/>
        <v>0</v>
      </c>
      <c r="F1330" s="799">
        <f t="shared" si="79"/>
        <v>0</v>
      </c>
      <c r="G1330" s="801">
        <f t="shared" si="80"/>
        <v>0</v>
      </c>
      <c r="H1330" s="801">
        <f t="shared" si="81"/>
        <v>0</v>
      </c>
      <c r="I1330" s="802">
        <f t="shared" si="82"/>
        <v>0</v>
      </c>
      <c r="J1330" s="792"/>
      <c r="K1330" s="813"/>
      <c r="L1330" s="803"/>
      <c r="M1330" s="813"/>
      <c r="N1330" s="803"/>
      <c r="O1330" s="803"/>
    </row>
    <row r="1331" spans="1:16">
      <c r="C1331" s="736" t="s">
        <v>83</v>
      </c>
      <c r="D1331" s="730"/>
      <c r="E1331" s="730">
        <f>SUM(E1271:E1330)</f>
        <v>26055178</v>
      </c>
      <c r="F1331" s="730"/>
      <c r="G1331" s="730">
        <f>SUM(G1271:G1330)</f>
        <v>93826493.36668399</v>
      </c>
      <c r="H1331" s="730">
        <f>SUM(H1271:H1330)</f>
        <v>93826493.36668399</v>
      </c>
      <c r="I1331" s="730">
        <f>SUM(I1271:I1330)</f>
        <v>0</v>
      </c>
      <c r="J1331" s="730"/>
      <c r="K1331" s="730"/>
      <c r="L1331" s="730"/>
      <c r="M1331" s="730"/>
      <c r="N1331" s="730"/>
      <c r="O1331" s="313"/>
    </row>
    <row r="1332" spans="1:16">
      <c r="D1332" s="538"/>
      <c r="E1332" s="313"/>
      <c r="F1332" s="313"/>
      <c r="G1332" s="313"/>
      <c r="H1332" s="708"/>
      <c r="I1332" s="708"/>
      <c r="J1332" s="730"/>
      <c r="K1332" s="708"/>
      <c r="L1332" s="708"/>
      <c r="M1332" s="708"/>
      <c r="N1332" s="708"/>
      <c r="O1332" s="313"/>
    </row>
    <row r="1333" spans="1:16">
      <c r="C1333" s="313" t="s">
        <v>13</v>
      </c>
      <c r="D1333" s="538"/>
      <c r="E1333" s="313"/>
      <c r="F1333" s="313"/>
      <c r="G1333" s="313"/>
      <c r="H1333" s="708"/>
      <c r="I1333" s="708"/>
      <c r="J1333" s="730"/>
      <c r="K1333" s="708"/>
      <c r="L1333" s="708"/>
      <c r="M1333" s="708"/>
      <c r="N1333" s="708"/>
      <c r="O1333" s="313"/>
    </row>
    <row r="1334" spans="1:16">
      <c r="C1334" s="313"/>
      <c r="D1334" s="538"/>
      <c r="E1334" s="313"/>
      <c r="F1334" s="313"/>
      <c r="G1334" s="313"/>
      <c r="H1334" s="708"/>
      <c r="I1334" s="708"/>
      <c r="J1334" s="730"/>
      <c r="K1334" s="708"/>
      <c r="L1334" s="708"/>
      <c r="M1334" s="708"/>
      <c r="N1334" s="708"/>
      <c r="O1334" s="313"/>
    </row>
    <row r="1335" spans="1:16">
      <c r="C1335" s="749" t="s">
        <v>14</v>
      </c>
      <c r="D1335" s="736"/>
      <c r="E1335" s="736"/>
      <c r="F1335" s="736"/>
      <c r="G1335" s="730"/>
      <c r="H1335" s="730"/>
      <c r="I1335" s="804"/>
      <c r="J1335" s="804"/>
      <c r="K1335" s="804"/>
      <c r="L1335" s="804"/>
      <c r="M1335" s="804"/>
      <c r="N1335" s="804"/>
      <c r="O1335" s="313"/>
    </row>
    <row r="1336" spans="1:16">
      <c r="C1336" s="735" t="s">
        <v>263</v>
      </c>
      <c r="D1336" s="736"/>
      <c r="E1336" s="736"/>
      <c r="F1336" s="736"/>
      <c r="G1336" s="730"/>
      <c r="H1336" s="730"/>
      <c r="I1336" s="804"/>
      <c r="J1336" s="804"/>
      <c r="K1336" s="804"/>
      <c r="L1336" s="804"/>
      <c r="M1336" s="804"/>
      <c r="N1336" s="804"/>
      <c r="O1336" s="313"/>
    </row>
    <row r="1337" spans="1:16">
      <c r="C1337" s="735" t="s">
        <v>84</v>
      </c>
      <c r="D1337" s="736"/>
      <c r="E1337" s="736"/>
      <c r="F1337" s="736"/>
      <c r="G1337" s="730"/>
      <c r="H1337" s="730"/>
      <c r="I1337" s="804"/>
      <c r="J1337" s="804"/>
      <c r="K1337" s="804"/>
      <c r="L1337" s="804"/>
      <c r="M1337" s="804"/>
      <c r="N1337" s="804"/>
      <c r="O1337" s="313"/>
    </row>
    <row r="1338" spans="1:16">
      <c r="C1338" s="735"/>
      <c r="D1338" s="736"/>
      <c r="E1338" s="736"/>
      <c r="F1338" s="736"/>
      <c r="G1338" s="730"/>
      <c r="H1338" s="730"/>
      <c r="I1338" s="804"/>
      <c r="J1338" s="804"/>
      <c r="K1338" s="804"/>
      <c r="L1338" s="804"/>
      <c r="M1338" s="804"/>
      <c r="N1338" s="804"/>
      <c r="O1338" s="313"/>
    </row>
    <row r="1339" spans="1:16">
      <c r="C1339" s="1547" t="s">
        <v>6</v>
      </c>
      <c r="D1339" s="1547"/>
      <c r="E1339" s="1547"/>
      <c r="F1339" s="1547"/>
      <c r="G1339" s="1547"/>
      <c r="H1339" s="1547"/>
      <c r="I1339" s="1547"/>
      <c r="J1339" s="1547"/>
      <c r="K1339" s="1547"/>
      <c r="L1339" s="1547"/>
      <c r="M1339" s="1547"/>
      <c r="N1339" s="1547"/>
      <c r="O1339" s="1547"/>
    </row>
    <row r="1340" spans="1:16">
      <c r="C1340" s="1547"/>
      <c r="D1340" s="1547"/>
      <c r="E1340" s="1547"/>
      <c r="F1340" s="1547"/>
      <c r="G1340" s="1547"/>
      <c r="H1340" s="1547"/>
      <c r="I1340" s="1547"/>
      <c r="J1340" s="1547"/>
      <c r="K1340" s="1547"/>
      <c r="L1340" s="1547"/>
      <c r="M1340" s="1547"/>
      <c r="N1340" s="1547"/>
      <c r="O1340" s="1547"/>
    </row>
    <row r="1341" spans="1:16">
      <c r="C1341" s="735"/>
      <c r="D1341" s="736"/>
      <c r="E1341" s="736"/>
      <c r="F1341" s="736"/>
      <c r="G1341" s="730"/>
      <c r="H1341" s="730"/>
    </row>
    <row r="1342" spans="1:16" ht="20.25">
      <c r="A1342" s="737" t="str">
        <f>""&amp;A1266&amp;" Worksheet J -  ATRR PROJECTED Calculation for PJM Projects Charged to Benefiting Zones"</f>
        <v xml:space="preserve"> Worksheet J -  ATRR PROJECTED Calculation for PJM Projects Charged to Benefiting Zones</v>
      </c>
      <c r="B1342" s="347"/>
      <c r="C1342" s="725"/>
      <c r="D1342" s="538"/>
      <c r="E1342" s="313"/>
      <c r="F1342" s="707"/>
      <c r="G1342" s="313"/>
      <c r="H1342" s="708"/>
      <c r="K1342" s="564"/>
      <c r="L1342" s="564"/>
      <c r="M1342" s="564"/>
      <c r="N1342" s="653" t="str">
        <f>"Page "&amp;SUM(P$8:P1342)&amp;" of "</f>
        <v xml:space="preserve">Page 16 of </v>
      </c>
      <c r="O1342" s="654">
        <f>COUNT(P$8:P$56653)</f>
        <v>23</v>
      </c>
      <c r="P1342" s="172">
        <v>1</v>
      </c>
    </row>
    <row r="1343" spans="1:16">
      <c r="B1343" s="347"/>
      <c r="C1343" s="313"/>
      <c r="D1343" s="538"/>
      <c r="E1343" s="313"/>
      <c r="F1343" s="313"/>
      <c r="G1343" s="313"/>
      <c r="H1343" s="708"/>
      <c r="I1343" s="313"/>
      <c r="J1343" s="426"/>
      <c r="K1343" s="313"/>
      <c r="L1343" s="313"/>
      <c r="M1343" s="313"/>
      <c r="N1343" s="313"/>
      <c r="O1343" s="313"/>
    </row>
    <row r="1344" spans="1:16" ht="18">
      <c r="B1344" s="657" t="s">
        <v>466</v>
      </c>
      <c r="C1344" s="739" t="s">
        <v>85</v>
      </c>
      <c r="D1344" s="538"/>
      <c r="E1344" s="313"/>
      <c r="F1344" s="313"/>
      <c r="G1344" s="313"/>
      <c r="H1344" s="708"/>
      <c r="I1344" s="708"/>
      <c r="J1344" s="730"/>
      <c r="K1344" s="708"/>
      <c r="L1344" s="708"/>
      <c r="M1344" s="708"/>
      <c r="N1344" s="708"/>
      <c r="O1344" s="313"/>
    </row>
    <row r="1345" spans="2:15" ht="18.75">
      <c r="B1345" s="657"/>
      <c r="C1345" s="656"/>
      <c r="D1345" s="538"/>
      <c r="E1345" s="313"/>
      <c r="F1345" s="313"/>
      <c r="G1345" s="313"/>
      <c r="H1345" s="708"/>
      <c r="I1345" s="708"/>
      <c r="J1345" s="730"/>
      <c r="K1345" s="708"/>
      <c r="L1345" s="708"/>
      <c r="M1345" s="708"/>
      <c r="N1345" s="708"/>
      <c r="O1345" s="313"/>
    </row>
    <row r="1346" spans="2:15" ht="18.75">
      <c r="B1346" s="657"/>
      <c r="C1346" s="656" t="s">
        <v>86</v>
      </c>
      <c r="D1346" s="538"/>
      <c r="E1346" s="313"/>
      <c r="F1346" s="313"/>
      <c r="G1346" s="313"/>
      <c r="H1346" s="708"/>
      <c r="I1346" s="708"/>
      <c r="J1346" s="730"/>
      <c r="K1346" s="708"/>
      <c r="L1346" s="708"/>
      <c r="M1346" s="708"/>
      <c r="N1346" s="708"/>
      <c r="O1346" s="313"/>
    </row>
    <row r="1347" spans="2:15" ht="15.75" thickBot="1">
      <c r="C1347" s="239"/>
      <c r="D1347" s="538"/>
      <c r="E1347" s="313"/>
      <c r="F1347" s="313"/>
      <c r="G1347" s="313"/>
      <c r="H1347" s="708"/>
      <c r="I1347" s="708"/>
      <c r="J1347" s="730"/>
      <c r="K1347" s="708"/>
      <c r="L1347" s="708"/>
      <c r="M1347" s="708"/>
      <c r="N1347" s="708"/>
      <c r="O1347" s="313"/>
    </row>
    <row r="1348" spans="2:15" ht="15.75">
      <c r="C1348" s="659" t="s">
        <v>87</v>
      </c>
      <c r="D1348" s="538"/>
      <c r="E1348" s="313"/>
      <c r="F1348" s="313"/>
      <c r="G1348" s="806"/>
      <c r="H1348" s="313" t="s">
        <v>66</v>
      </c>
      <c r="I1348" s="313"/>
      <c r="J1348" s="426"/>
      <c r="K1348" s="740" t="s">
        <v>91</v>
      </c>
      <c r="L1348" s="741"/>
      <c r="M1348" s="742"/>
      <c r="N1348" s="743">
        <f>IF(I1354=0,0,VLOOKUP(I1354,C1361:O1420,5))</f>
        <v>870440.46974027716</v>
      </c>
      <c r="O1348" s="313"/>
    </row>
    <row r="1349" spans="2:15" ht="15.75">
      <c r="C1349" s="659"/>
      <c r="D1349" s="538"/>
      <c r="E1349" s="313"/>
      <c r="F1349" s="313"/>
      <c r="G1349" s="313"/>
      <c r="H1349" s="744"/>
      <c r="I1349" s="744"/>
      <c r="J1349" s="745"/>
      <c r="K1349" s="746" t="s">
        <v>92</v>
      </c>
      <c r="L1349" s="747"/>
      <c r="M1349" s="426"/>
      <c r="N1349" s="748">
        <f>IF(I1354=0,0,VLOOKUP(I1354,C1361:O1420,6))</f>
        <v>870440.46974027716</v>
      </c>
      <c r="O1349" s="313"/>
    </row>
    <row r="1350" spans="2:15" ht="13.5" customHeight="1" thickBot="1">
      <c r="C1350" s="749" t="s">
        <v>88</v>
      </c>
      <c r="D1350" s="1537" t="s">
        <v>824</v>
      </c>
      <c r="E1350" s="1537"/>
      <c r="F1350" s="1537"/>
      <c r="G1350" s="1537"/>
      <c r="H1350" s="1537"/>
      <c r="I1350" s="1537"/>
      <c r="J1350" s="730"/>
      <c r="K1350" s="750" t="s">
        <v>230</v>
      </c>
      <c r="L1350" s="751"/>
      <c r="M1350" s="751"/>
      <c r="N1350" s="752">
        <f>+N1349-N1348</f>
        <v>0</v>
      </c>
      <c r="O1350" s="313"/>
    </row>
    <row r="1351" spans="2:15">
      <c r="C1351" s="753"/>
      <c r="D1351" s="1537"/>
      <c r="E1351" s="1537"/>
      <c r="F1351" s="1537"/>
      <c r="G1351" s="1537"/>
      <c r="H1351" s="1537"/>
      <c r="I1351" s="1537"/>
      <c r="J1351" s="730"/>
      <c r="K1351" s="708"/>
      <c r="L1351" s="708"/>
      <c r="M1351" s="708"/>
      <c r="N1351" s="708"/>
      <c r="O1351" s="313"/>
    </row>
    <row r="1352" spans="2:15" ht="13.5" thickBot="1">
      <c r="C1352" s="756"/>
      <c r="D1352" s="757"/>
      <c r="E1352" s="755"/>
      <c r="F1352" s="755"/>
      <c r="G1352" s="755"/>
      <c r="H1352" s="755"/>
      <c r="I1352" s="755"/>
      <c r="J1352" s="758"/>
      <c r="K1352" s="755"/>
      <c r="L1352" s="755"/>
      <c r="M1352" s="755"/>
      <c r="N1352" s="755"/>
      <c r="O1352" s="347"/>
    </row>
    <row r="1353" spans="2:15" ht="13.5" thickBot="1">
      <c r="C1353" s="759" t="s">
        <v>89</v>
      </c>
      <c r="D1353" s="760"/>
      <c r="E1353" s="760"/>
      <c r="F1353" s="760"/>
      <c r="G1353" s="760"/>
      <c r="H1353" s="760"/>
      <c r="I1353" s="761"/>
      <c r="J1353" s="762"/>
      <c r="K1353" s="313"/>
      <c r="L1353" s="313"/>
      <c r="M1353" s="313"/>
      <c r="N1353" s="313"/>
      <c r="O1353" s="763"/>
    </row>
    <row r="1354" spans="2:15" ht="15">
      <c r="C1354" s="764" t="s">
        <v>67</v>
      </c>
      <c r="D1354" s="808">
        <v>6215398</v>
      </c>
      <c r="E1354" s="725" t="s">
        <v>68</v>
      </c>
      <c r="G1354" s="765"/>
      <c r="H1354" s="765"/>
      <c r="I1354" s="766">
        <f>$L$26</f>
        <v>2023</v>
      </c>
      <c r="J1354" s="554"/>
      <c r="K1354" s="1536" t="s">
        <v>239</v>
      </c>
      <c r="L1354" s="1536"/>
      <c r="M1354" s="1536"/>
      <c r="N1354" s="1536"/>
      <c r="O1354" s="1536"/>
    </row>
    <row r="1355" spans="2:15">
      <c r="C1355" s="764" t="s">
        <v>70</v>
      </c>
      <c r="D1355" s="809">
        <v>2015</v>
      </c>
      <c r="E1355" s="764" t="s">
        <v>71</v>
      </c>
      <c r="F1355" s="765"/>
      <c r="H1355" s="172"/>
      <c r="I1355" s="810">
        <f>IF(G1348="",0,$F$17)</f>
        <v>0</v>
      </c>
      <c r="J1355" s="767"/>
      <c r="K1355" s="730" t="s">
        <v>239</v>
      </c>
    </row>
    <row r="1356" spans="2:15">
      <c r="C1356" s="764" t="s">
        <v>72</v>
      </c>
      <c r="D1356" s="808">
        <v>6</v>
      </c>
      <c r="E1356" s="764" t="s">
        <v>73</v>
      </c>
      <c r="F1356" s="765"/>
      <c r="H1356" s="172"/>
      <c r="I1356" s="768">
        <f>$G$70</f>
        <v>0.14450383244078713</v>
      </c>
      <c r="J1356" s="769"/>
      <c r="K1356" s="172" t="str">
        <f>"          INPUT PROJECTED ARR (WITH &amp; WITHOUT INCENTIVES) FROM EACH PRIOR YEAR"</f>
        <v xml:space="preserve">          INPUT PROJECTED ARR (WITH &amp; WITHOUT INCENTIVES) FROM EACH PRIOR YEAR</v>
      </c>
    </row>
    <row r="1357" spans="2:15">
      <c r="C1357" s="764" t="s">
        <v>74</v>
      </c>
      <c r="D1357" s="770">
        <f>$G$79</f>
        <v>35</v>
      </c>
      <c r="E1357" s="764" t="s">
        <v>75</v>
      </c>
      <c r="F1357" s="765"/>
      <c r="H1357" s="172"/>
      <c r="I1357" s="768">
        <f>IF(G1348="",I1356,$G$69)</f>
        <v>0.14450383244078713</v>
      </c>
      <c r="J1357" s="771"/>
      <c r="K1357" s="172" t="s">
        <v>152</v>
      </c>
    </row>
    <row r="1358" spans="2:15" ht="13.5" thickBot="1">
      <c r="C1358" s="764" t="s">
        <v>76</v>
      </c>
      <c r="D1358" s="807" t="s">
        <v>808</v>
      </c>
      <c r="E1358" s="772" t="s">
        <v>77</v>
      </c>
      <c r="F1358" s="773"/>
      <c r="G1358" s="774"/>
      <c r="H1358" s="774"/>
      <c r="I1358" s="752">
        <f>IF(D1354=0,0,D1354/D1357)</f>
        <v>177582.8</v>
      </c>
      <c r="J1358" s="730"/>
      <c r="K1358" s="730" t="s">
        <v>158</v>
      </c>
      <c r="L1358" s="730"/>
      <c r="M1358" s="730"/>
      <c r="N1358" s="730"/>
      <c r="O1358" s="426"/>
    </row>
    <row r="1359" spans="2:15" ht="38.25">
      <c r="B1359" s="845"/>
      <c r="C1359" s="775" t="s">
        <v>67</v>
      </c>
      <c r="D1359" s="776" t="s">
        <v>78</v>
      </c>
      <c r="E1359" s="777" t="s">
        <v>79</v>
      </c>
      <c r="F1359" s="776" t="s">
        <v>80</v>
      </c>
      <c r="G1359" s="777" t="s">
        <v>151</v>
      </c>
      <c r="H1359" s="778" t="s">
        <v>151</v>
      </c>
      <c r="I1359" s="775" t="s">
        <v>90</v>
      </c>
      <c r="J1359" s="779"/>
      <c r="K1359" s="777" t="s">
        <v>160</v>
      </c>
      <c r="L1359" s="780"/>
      <c r="M1359" s="777" t="s">
        <v>160</v>
      </c>
      <c r="N1359" s="780"/>
      <c r="O1359" s="780"/>
    </row>
    <row r="1360" spans="2:15" ht="13.5" thickBot="1">
      <c r="C1360" s="781" t="s">
        <v>469</v>
      </c>
      <c r="D1360" s="782" t="s">
        <v>470</v>
      </c>
      <c r="E1360" s="781" t="s">
        <v>363</v>
      </c>
      <c r="F1360" s="782" t="s">
        <v>470</v>
      </c>
      <c r="G1360" s="783" t="s">
        <v>93</v>
      </c>
      <c r="H1360" s="784" t="s">
        <v>95</v>
      </c>
      <c r="I1360" s="785" t="s">
        <v>15</v>
      </c>
      <c r="J1360" s="786"/>
      <c r="K1360" s="783" t="s">
        <v>82</v>
      </c>
      <c r="L1360" s="787"/>
      <c r="M1360" s="783" t="s">
        <v>95</v>
      </c>
      <c r="N1360" s="787"/>
      <c r="O1360" s="787"/>
    </row>
    <row r="1361" spans="3:15">
      <c r="C1361" s="788">
        <f>IF(D1355= "","-",D1355)</f>
        <v>2015</v>
      </c>
      <c r="D1361" s="736">
        <f>+D1354</f>
        <v>6215398</v>
      </c>
      <c r="E1361" s="789">
        <f>+I1358/12*(12-D1356)</f>
        <v>88791.4</v>
      </c>
      <c r="F1361" s="736">
        <f>+D1361-E1361</f>
        <v>6126606.5999999996</v>
      </c>
      <c r="G1361" s="985">
        <f>+$I$96*((D1361+F1361)/2)+E1361</f>
        <v>980524.88235091197</v>
      </c>
      <c r="H1361" s="986">
        <f>$I$97*((D1361+F1361)/2)+E1361</f>
        <v>980524.88235091197</v>
      </c>
      <c r="I1361" s="792">
        <f>+H1361-G1361</f>
        <v>0</v>
      </c>
      <c r="J1361" s="792"/>
      <c r="K1361" s="811">
        <v>643594</v>
      </c>
      <c r="L1361" s="793"/>
      <c r="M1361" s="811">
        <v>643594</v>
      </c>
      <c r="N1361" s="793"/>
      <c r="O1361" s="793"/>
    </row>
    <row r="1362" spans="3:15">
      <c r="C1362" s="788">
        <f>IF(D1355="","-",+C1361+1)</f>
        <v>2016</v>
      </c>
      <c r="D1362" s="736">
        <f t="shared" ref="D1362:D1420" si="84">F1361</f>
        <v>6126606.5999999996</v>
      </c>
      <c r="E1362" s="789">
        <f>IF(D1362&gt;$I$1358,$I$1358,D1362)</f>
        <v>177582.8</v>
      </c>
      <c r="F1362" s="736">
        <f t="shared" ref="F1362:F1420" si="85">+D1362-E1362</f>
        <v>5949023.7999999998</v>
      </c>
      <c r="G1362" s="794">
        <f t="shared" ref="G1362:G1420" si="86">+$I$96*((D1362+F1362)/2)+E1362</f>
        <v>1050070.2359692375</v>
      </c>
      <c r="H1362" s="795">
        <f t="shared" ref="H1362:H1420" si="87">$I$97*((D1362+F1362)/2)+E1362</f>
        <v>1050070.2359692375</v>
      </c>
      <c r="I1362" s="792">
        <f t="shared" ref="I1362:I1420" si="88">+H1362-G1362</f>
        <v>0</v>
      </c>
      <c r="J1362" s="792"/>
      <c r="K1362" s="812">
        <v>866696</v>
      </c>
      <c r="L1362" s="796"/>
      <c r="M1362" s="812">
        <v>866696</v>
      </c>
      <c r="N1362" s="796"/>
      <c r="O1362" s="796"/>
    </row>
    <row r="1363" spans="3:15">
      <c r="C1363" s="788">
        <f>IF(D1355="","-",+C1362+1)</f>
        <v>2017</v>
      </c>
      <c r="D1363" s="736">
        <f t="shared" si="84"/>
        <v>5949023.7999999998</v>
      </c>
      <c r="E1363" s="789">
        <f t="shared" ref="E1363:E1420" si="89">IF(D1363&gt;$I$1358,$I$1358,D1363)</f>
        <v>177582.8</v>
      </c>
      <c r="F1363" s="736">
        <f t="shared" si="85"/>
        <v>5771441</v>
      </c>
      <c r="G1363" s="794">
        <f t="shared" si="86"/>
        <v>1024408.8407936718</v>
      </c>
      <c r="H1363" s="795">
        <f t="shared" si="87"/>
        <v>1024408.8407936718</v>
      </c>
      <c r="I1363" s="792">
        <f t="shared" si="88"/>
        <v>0</v>
      </c>
      <c r="J1363" s="792"/>
      <c r="K1363" s="812">
        <v>1077982</v>
      </c>
      <c r="L1363" s="796"/>
      <c r="M1363" s="812">
        <v>1077982</v>
      </c>
      <c r="N1363" s="796"/>
      <c r="O1363" s="796"/>
    </row>
    <row r="1364" spans="3:15">
      <c r="C1364" s="1312">
        <f>IF(D1355="","-",+C1363+1)</f>
        <v>2018</v>
      </c>
      <c r="D1364" s="736">
        <f t="shared" si="84"/>
        <v>5771441</v>
      </c>
      <c r="E1364" s="789">
        <f t="shared" si="89"/>
        <v>177582.8</v>
      </c>
      <c r="F1364" s="736">
        <f t="shared" si="85"/>
        <v>5593858.2000000002</v>
      </c>
      <c r="G1364" s="794">
        <f t="shared" si="86"/>
        <v>998747.44561810582</v>
      </c>
      <c r="H1364" s="795">
        <f t="shared" si="87"/>
        <v>998747.44561810582</v>
      </c>
      <c r="I1364" s="792">
        <f t="shared" si="88"/>
        <v>0</v>
      </c>
      <c r="J1364" s="792"/>
      <c r="K1364" s="812">
        <v>958607</v>
      </c>
      <c r="L1364" s="796"/>
      <c r="M1364" s="812">
        <v>958607</v>
      </c>
      <c r="N1364" s="796"/>
      <c r="O1364" s="796"/>
    </row>
    <row r="1365" spans="3:15">
      <c r="C1365" s="1290">
        <f>IF(D1355="","-",+C1364+1)</f>
        <v>2019</v>
      </c>
      <c r="D1365" s="736">
        <f t="shared" si="84"/>
        <v>5593858.2000000002</v>
      </c>
      <c r="E1365" s="789">
        <f t="shared" si="89"/>
        <v>177582.8</v>
      </c>
      <c r="F1365" s="736">
        <f t="shared" si="85"/>
        <v>5416275.4000000004</v>
      </c>
      <c r="G1365" s="794">
        <f t="shared" si="86"/>
        <v>973086.05044254032</v>
      </c>
      <c r="H1365" s="795">
        <f t="shared" si="87"/>
        <v>973086.05044254032</v>
      </c>
      <c r="I1365" s="792">
        <f t="shared" si="88"/>
        <v>0</v>
      </c>
      <c r="J1365" s="792"/>
      <c r="K1365" s="812"/>
      <c r="L1365" s="796"/>
      <c r="M1365" s="812"/>
      <c r="N1365" s="796"/>
      <c r="O1365" s="796"/>
    </row>
    <row r="1366" spans="3:15">
      <c r="C1366" s="788">
        <f>IF(D1355="","-",+C1365+1)</f>
        <v>2020</v>
      </c>
      <c r="D1366" s="736">
        <f t="shared" si="84"/>
        <v>5416275.4000000004</v>
      </c>
      <c r="E1366" s="789">
        <f t="shared" si="89"/>
        <v>177582.8</v>
      </c>
      <c r="F1366" s="736">
        <f t="shared" si="85"/>
        <v>5238692.6000000006</v>
      </c>
      <c r="G1366" s="794">
        <f t="shared" si="86"/>
        <v>947424.65526697435</v>
      </c>
      <c r="H1366" s="795">
        <f t="shared" si="87"/>
        <v>947424.65526697435</v>
      </c>
      <c r="I1366" s="792">
        <f t="shared" si="88"/>
        <v>0</v>
      </c>
      <c r="J1366" s="792"/>
      <c r="K1366" s="812"/>
      <c r="L1366" s="796"/>
      <c r="M1366" s="812"/>
      <c r="N1366" s="796"/>
      <c r="O1366" s="796"/>
    </row>
    <row r="1367" spans="3:15">
      <c r="C1367" s="788">
        <f>IF(D1355="","-",+C1366+1)</f>
        <v>2021</v>
      </c>
      <c r="D1367" s="736">
        <f t="shared" si="84"/>
        <v>5238692.6000000006</v>
      </c>
      <c r="E1367" s="789">
        <f t="shared" si="89"/>
        <v>177582.8</v>
      </c>
      <c r="F1367" s="736">
        <f t="shared" si="85"/>
        <v>5061109.8000000007</v>
      </c>
      <c r="G1367" s="794">
        <f t="shared" si="86"/>
        <v>921763.26009140862</v>
      </c>
      <c r="H1367" s="795">
        <f t="shared" si="87"/>
        <v>921763.26009140862</v>
      </c>
      <c r="I1367" s="792">
        <f t="shared" si="88"/>
        <v>0</v>
      </c>
      <c r="J1367" s="792"/>
      <c r="K1367" s="812"/>
      <c r="L1367" s="796"/>
      <c r="M1367" s="812"/>
      <c r="N1367" s="796"/>
      <c r="O1367" s="796"/>
    </row>
    <row r="1368" spans="3:15">
      <c r="C1368" s="788">
        <f>IF(D1355="","-",+C1367+1)</f>
        <v>2022</v>
      </c>
      <c r="D1368" s="736">
        <f t="shared" si="84"/>
        <v>5061109.8000000007</v>
      </c>
      <c r="E1368" s="789">
        <f t="shared" si="89"/>
        <v>177582.8</v>
      </c>
      <c r="F1368" s="736">
        <f t="shared" si="85"/>
        <v>4883527.0000000009</v>
      </c>
      <c r="G1368" s="794">
        <f t="shared" si="86"/>
        <v>896101.86491584289</v>
      </c>
      <c r="H1368" s="795">
        <f t="shared" si="87"/>
        <v>896101.86491584289</v>
      </c>
      <c r="I1368" s="792">
        <f t="shared" si="88"/>
        <v>0</v>
      </c>
      <c r="J1368" s="792"/>
      <c r="K1368" s="812"/>
      <c r="L1368" s="796"/>
      <c r="M1368" s="812"/>
      <c r="N1368" s="796"/>
      <c r="O1368" s="796"/>
    </row>
    <row r="1369" spans="3:15">
      <c r="C1369" s="788">
        <f>IF(D1355="","-",+C1368+1)</f>
        <v>2023</v>
      </c>
      <c r="D1369" s="736">
        <f t="shared" si="84"/>
        <v>4883527.0000000009</v>
      </c>
      <c r="E1369" s="789">
        <f t="shared" si="89"/>
        <v>177582.8</v>
      </c>
      <c r="F1369" s="736">
        <f t="shared" si="85"/>
        <v>4705944.2000000011</v>
      </c>
      <c r="G1369" s="794">
        <f t="shared" si="86"/>
        <v>870440.46974027716</v>
      </c>
      <c r="H1369" s="795">
        <f t="shared" si="87"/>
        <v>870440.46974027716</v>
      </c>
      <c r="I1369" s="792">
        <f t="shared" si="88"/>
        <v>0</v>
      </c>
      <c r="J1369" s="792"/>
      <c r="K1369" s="812"/>
      <c r="L1369" s="796"/>
      <c r="M1369" s="812"/>
      <c r="N1369" s="796"/>
      <c r="O1369" s="796"/>
    </row>
    <row r="1370" spans="3:15">
      <c r="C1370" s="788">
        <f>IF(D1355="","-",+C1369+1)</f>
        <v>2024</v>
      </c>
      <c r="D1370" s="736">
        <f t="shared" si="84"/>
        <v>4705944.2000000011</v>
      </c>
      <c r="E1370" s="789">
        <f t="shared" si="89"/>
        <v>177582.8</v>
      </c>
      <c r="F1370" s="736">
        <f t="shared" si="85"/>
        <v>4528361.4000000013</v>
      </c>
      <c r="G1370" s="794">
        <f t="shared" si="86"/>
        <v>844779.07456471119</v>
      </c>
      <c r="H1370" s="795">
        <f t="shared" si="87"/>
        <v>844779.07456471119</v>
      </c>
      <c r="I1370" s="792">
        <f t="shared" si="88"/>
        <v>0</v>
      </c>
      <c r="J1370" s="792"/>
      <c r="K1370" s="812"/>
      <c r="L1370" s="796"/>
      <c r="M1370" s="812"/>
      <c r="N1370" s="796"/>
      <c r="O1370" s="796"/>
    </row>
    <row r="1371" spans="3:15">
      <c r="C1371" s="788">
        <f>IF(D1355="","-",+C1370+1)</f>
        <v>2025</v>
      </c>
      <c r="D1371" s="736">
        <f t="shared" si="84"/>
        <v>4528361.4000000013</v>
      </c>
      <c r="E1371" s="789">
        <f t="shared" si="89"/>
        <v>177582.8</v>
      </c>
      <c r="F1371" s="736">
        <f t="shared" si="85"/>
        <v>4350778.6000000015</v>
      </c>
      <c r="G1371" s="794">
        <f t="shared" si="86"/>
        <v>819117.67938914546</v>
      </c>
      <c r="H1371" s="795">
        <f t="shared" si="87"/>
        <v>819117.67938914546</v>
      </c>
      <c r="I1371" s="792">
        <f t="shared" si="88"/>
        <v>0</v>
      </c>
      <c r="J1371" s="792"/>
      <c r="K1371" s="812"/>
      <c r="L1371" s="796"/>
      <c r="M1371" s="812"/>
      <c r="N1371" s="796"/>
      <c r="O1371" s="796"/>
    </row>
    <row r="1372" spans="3:15">
      <c r="C1372" s="788">
        <f>IF(D1355="","-",+C1371+1)</f>
        <v>2026</v>
      </c>
      <c r="D1372" s="736">
        <f t="shared" si="84"/>
        <v>4350778.6000000015</v>
      </c>
      <c r="E1372" s="789">
        <f t="shared" si="89"/>
        <v>177582.8</v>
      </c>
      <c r="F1372" s="736">
        <f t="shared" si="85"/>
        <v>4173195.8000000017</v>
      </c>
      <c r="G1372" s="794">
        <f t="shared" si="86"/>
        <v>793456.28421357973</v>
      </c>
      <c r="H1372" s="795">
        <f t="shared" si="87"/>
        <v>793456.28421357973</v>
      </c>
      <c r="I1372" s="792">
        <f t="shared" si="88"/>
        <v>0</v>
      </c>
      <c r="J1372" s="792"/>
      <c r="K1372" s="812"/>
      <c r="L1372" s="796"/>
      <c r="M1372" s="812"/>
      <c r="N1372" s="796"/>
      <c r="O1372" s="796"/>
    </row>
    <row r="1373" spans="3:15">
      <c r="C1373" s="788">
        <f>IF(D1355="","-",+C1372+1)</f>
        <v>2027</v>
      </c>
      <c r="D1373" s="736">
        <f t="shared" si="84"/>
        <v>4173195.8000000017</v>
      </c>
      <c r="E1373" s="789">
        <f t="shared" si="89"/>
        <v>177582.8</v>
      </c>
      <c r="F1373" s="736">
        <f t="shared" si="85"/>
        <v>3995613.0000000019</v>
      </c>
      <c r="G1373" s="794">
        <f t="shared" si="86"/>
        <v>767794.88903801399</v>
      </c>
      <c r="H1373" s="795">
        <f t="shared" si="87"/>
        <v>767794.88903801399</v>
      </c>
      <c r="I1373" s="792">
        <f t="shared" si="88"/>
        <v>0</v>
      </c>
      <c r="J1373" s="792"/>
      <c r="K1373" s="812"/>
      <c r="L1373" s="796"/>
      <c r="M1373" s="812"/>
      <c r="N1373" s="797"/>
      <c r="O1373" s="796"/>
    </row>
    <row r="1374" spans="3:15">
      <c r="C1374" s="788">
        <f>IF(D1355="","-",+C1373+1)</f>
        <v>2028</v>
      </c>
      <c r="D1374" s="736">
        <f t="shared" si="84"/>
        <v>3995613.0000000019</v>
      </c>
      <c r="E1374" s="789">
        <f t="shared" si="89"/>
        <v>177582.8</v>
      </c>
      <c r="F1374" s="736">
        <f t="shared" si="85"/>
        <v>3818030.200000002</v>
      </c>
      <c r="G1374" s="794">
        <f t="shared" si="86"/>
        <v>742133.49386244803</v>
      </c>
      <c r="H1374" s="795">
        <f t="shared" si="87"/>
        <v>742133.49386244803</v>
      </c>
      <c r="I1374" s="792">
        <f t="shared" si="88"/>
        <v>0</v>
      </c>
      <c r="J1374" s="792"/>
      <c r="K1374" s="812"/>
      <c r="L1374" s="796"/>
      <c r="M1374" s="812"/>
      <c r="N1374" s="796"/>
      <c r="O1374" s="796"/>
    </row>
    <row r="1375" spans="3:15">
      <c r="C1375" s="788">
        <f>IF(D1355="","-",+C1374+1)</f>
        <v>2029</v>
      </c>
      <c r="D1375" s="736">
        <f t="shared" si="84"/>
        <v>3818030.200000002</v>
      </c>
      <c r="E1375" s="789">
        <f t="shared" si="89"/>
        <v>177582.8</v>
      </c>
      <c r="F1375" s="736">
        <f t="shared" si="85"/>
        <v>3640447.4000000022</v>
      </c>
      <c r="G1375" s="794">
        <f t="shared" si="86"/>
        <v>716472.09868688229</v>
      </c>
      <c r="H1375" s="795">
        <f t="shared" si="87"/>
        <v>716472.09868688229</v>
      </c>
      <c r="I1375" s="792">
        <f t="shared" si="88"/>
        <v>0</v>
      </c>
      <c r="J1375" s="792"/>
      <c r="K1375" s="812"/>
      <c r="L1375" s="796"/>
      <c r="M1375" s="812"/>
      <c r="N1375" s="796"/>
      <c r="O1375" s="796"/>
    </row>
    <row r="1376" spans="3:15">
      <c r="C1376" s="788">
        <f>IF(D1355="","-",+C1375+1)</f>
        <v>2030</v>
      </c>
      <c r="D1376" s="736">
        <f t="shared" si="84"/>
        <v>3640447.4000000022</v>
      </c>
      <c r="E1376" s="789">
        <f t="shared" si="89"/>
        <v>177582.8</v>
      </c>
      <c r="F1376" s="736">
        <f t="shared" si="85"/>
        <v>3462864.6000000024</v>
      </c>
      <c r="G1376" s="794">
        <f t="shared" si="86"/>
        <v>690810.70351131656</v>
      </c>
      <c r="H1376" s="795">
        <f t="shared" si="87"/>
        <v>690810.70351131656</v>
      </c>
      <c r="I1376" s="792">
        <f t="shared" si="88"/>
        <v>0</v>
      </c>
      <c r="J1376" s="792"/>
      <c r="K1376" s="812"/>
      <c r="L1376" s="796"/>
      <c r="M1376" s="812"/>
      <c r="N1376" s="796"/>
      <c r="O1376" s="796"/>
    </row>
    <row r="1377" spans="3:15">
      <c r="C1377" s="788">
        <f>IF(D1355="","-",+C1376+1)</f>
        <v>2031</v>
      </c>
      <c r="D1377" s="736">
        <f t="shared" si="84"/>
        <v>3462864.6000000024</v>
      </c>
      <c r="E1377" s="789">
        <f t="shared" si="89"/>
        <v>177582.8</v>
      </c>
      <c r="F1377" s="736">
        <f t="shared" si="85"/>
        <v>3285281.8000000026</v>
      </c>
      <c r="G1377" s="794">
        <f t="shared" si="86"/>
        <v>665149.30833575083</v>
      </c>
      <c r="H1377" s="795">
        <f t="shared" si="87"/>
        <v>665149.30833575083</v>
      </c>
      <c r="I1377" s="792">
        <f t="shared" si="88"/>
        <v>0</v>
      </c>
      <c r="J1377" s="792"/>
      <c r="K1377" s="812"/>
      <c r="L1377" s="796"/>
      <c r="M1377" s="812"/>
      <c r="N1377" s="796"/>
      <c r="O1377" s="796"/>
    </row>
    <row r="1378" spans="3:15">
      <c r="C1378" s="788">
        <f>IF(D1355="","-",+C1377+1)</f>
        <v>2032</v>
      </c>
      <c r="D1378" s="736">
        <f t="shared" si="84"/>
        <v>3285281.8000000026</v>
      </c>
      <c r="E1378" s="789">
        <f t="shared" si="89"/>
        <v>177582.8</v>
      </c>
      <c r="F1378" s="736">
        <f t="shared" si="85"/>
        <v>3107699.0000000028</v>
      </c>
      <c r="G1378" s="794">
        <f t="shared" si="86"/>
        <v>639487.91316018498</v>
      </c>
      <c r="H1378" s="795">
        <f t="shared" si="87"/>
        <v>639487.91316018498</v>
      </c>
      <c r="I1378" s="792">
        <f t="shared" si="88"/>
        <v>0</v>
      </c>
      <c r="J1378" s="792"/>
      <c r="K1378" s="812"/>
      <c r="L1378" s="796"/>
      <c r="M1378" s="812"/>
      <c r="N1378" s="796"/>
      <c r="O1378" s="796"/>
    </row>
    <row r="1379" spans="3:15">
      <c r="C1379" s="788">
        <f>IF(D1355="","-",+C1378+1)</f>
        <v>2033</v>
      </c>
      <c r="D1379" s="736">
        <f t="shared" si="84"/>
        <v>3107699.0000000028</v>
      </c>
      <c r="E1379" s="789">
        <f t="shared" si="89"/>
        <v>177582.8</v>
      </c>
      <c r="F1379" s="736">
        <f t="shared" si="85"/>
        <v>2930116.200000003</v>
      </c>
      <c r="G1379" s="794">
        <f t="shared" si="86"/>
        <v>613826.51798461913</v>
      </c>
      <c r="H1379" s="795">
        <f t="shared" si="87"/>
        <v>613826.51798461913</v>
      </c>
      <c r="I1379" s="792">
        <f t="shared" si="88"/>
        <v>0</v>
      </c>
      <c r="J1379" s="792"/>
      <c r="K1379" s="812"/>
      <c r="L1379" s="796"/>
      <c r="M1379" s="812"/>
      <c r="N1379" s="796"/>
      <c r="O1379" s="796"/>
    </row>
    <row r="1380" spans="3:15">
      <c r="C1380" s="788">
        <f>IF(D1355="","-",+C1379+1)</f>
        <v>2034</v>
      </c>
      <c r="D1380" s="736">
        <f t="shared" si="84"/>
        <v>2930116.200000003</v>
      </c>
      <c r="E1380" s="789">
        <f t="shared" si="89"/>
        <v>177582.8</v>
      </c>
      <c r="F1380" s="736">
        <f t="shared" si="85"/>
        <v>2752533.4000000032</v>
      </c>
      <c r="G1380" s="794">
        <f t="shared" si="86"/>
        <v>588165.1228090534</v>
      </c>
      <c r="H1380" s="795">
        <f t="shared" si="87"/>
        <v>588165.1228090534</v>
      </c>
      <c r="I1380" s="792">
        <f t="shared" si="88"/>
        <v>0</v>
      </c>
      <c r="J1380" s="792"/>
      <c r="K1380" s="812"/>
      <c r="L1380" s="796"/>
      <c r="M1380" s="812"/>
      <c r="N1380" s="796"/>
      <c r="O1380" s="796"/>
    </row>
    <row r="1381" spans="3:15">
      <c r="C1381" s="788">
        <f>IF(D1355="","-",+C1380+1)</f>
        <v>2035</v>
      </c>
      <c r="D1381" s="736">
        <f t="shared" si="84"/>
        <v>2752533.4000000032</v>
      </c>
      <c r="E1381" s="789">
        <f t="shared" si="89"/>
        <v>177582.8</v>
      </c>
      <c r="F1381" s="736">
        <f t="shared" si="85"/>
        <v>2574950.6000000034</v>
      </c>
      <c r="G1381" s="794">
        <f t="shared" si="86"/>
        <v>562503.72763348767</v>
      </c>
      <c r="H1381" s="795">
        <f t="shared" si="87"/>
        <v>562503.72763348767</v>
      </c>
      <c r="I1381" s="792">
        <f t="shared" si="88"/>
        <v>0</v>
      </c>
      <c r="J1381" s="792"/>
      <c r="K1381" s="812"/>
      <c r="L1381" s="796"/>
      <c r="M1381" s="812"/>
      <c r="N1381" s="796"/>
      <c r="O1381" s="796"/>
    </row>
    <row r="1382" spans="3:15">
      <c r="C1382" s="788">
        <f>IF(D1355="","-",+C1381+1)</f>
        <v>2036</v>
      </c>
      <c r="D1382" s="736">
        <f t="shared" si="84"/>
        <v>2574950.6000000034</v>
      </c>
      <c r="E1382" s="789">
        <f t="shared" si="89"/>
        <v>177582.8</v>
      </c>
      <c r="F1382" s="736">
        <f t="shared" si="85"/>
        <v>2397367.8000000035</v>
      </c>
      <c r="G1382" s="794">
        <f t="shared" si="86"/>
        <v>536842.33245792193</v>
      </c>
      <c r="H1382" s="795">
        <f t="shared" si="87"/>
        <v>536842.33245792193</v>
      </c>
      <c r="I1382" s="792">
        <f t="shared" si="88"/>
        <v>0</v>
      </c>
      <c r="J1382" s="792"/>
      <c r="K1382" s="812"/>
      <c r="L1382" s="796"/>
      <c r="M1382" s="812"/>
      <c r="N1382" s="796"/>
      <c r="O1382" s="796"/>
    </row>
    <row r="1383" spans="3:15">
      <c r="C1383" s="788">
        <f>IF(D1355="","-",+C1382+1)</f>
        <v>2037</v>
      </c>
      <c r="D1383" s="736">
        <f t="shared" si="84"/>
        <v>2397367.8000000035</v>
      </c>
      <c r="E1383" s="789">
        <f t="shared" si="89"/>
        <v>177582.8</v>
      </c>
      <c r="F1383" s="736">
        <f t="shared" si="85"/>
        <v>2219785.0000000037</v>
      </c>
      <c r="G1383" s="794">
        <f t="shared" si="86"/>
        <v>511180.93728235608</v>
      </c>
      <c r="H1383" s="795">
        <f t="shared" si="87"/>
        <v>511180.93728235608</v>
      </c>
      <c r="I1383" s="792">
        <f t="shared" si="88"/>
        <v>0</v>
      </c>
      <c r="J1383" s="792"/>
      <c r="K1383" s="812"/>
      <c r="L1383" s="796"/>
      <c r="M1383" s="812"/>
      <c r="N1383" s="796"/>
      <c r="O1383" s="796"/>
    </row>
    <row r="1384" spans="3:15">
      <c r="C1384" s="788">
        <f>IF(D1355="","-",+C1383+1)</f>
        <v>2038</v>
      </c>
      <c r="D1384" s="736">
        <f t="shared" si="84"/>
        <v>2219785.0000000037</v>
      </c>
      <c r="E1384" s="789">
        <f t="shared" si="89"/>
        <v>177582.8</v>
      </c>
      <c r="F1384" s="736">
        <f t="shared" si="85"/>
        <v>2042202.2000000037</v>
      </c>
      <c r="G1384" s="794">
        <f t="shared" si="86"/>
        <v>485519.54210679029</v>
      </c>
      <c r="H1384" s="795">
        <f t="shared" si="87"/>
        <v>485519.54210679029</v>
      </c>
      <c r="I1384" s="792">
        <f t="shared" si="88"/>
        <v>0</v>
      </c>
      <c r="J1384" s="792"/>
      <c r="K1384" s="812"/>
      <c r="L1384" s="796"/>
      <c r="M1384" s="812"/>
      <c r="N1384" s="796"/>
      <c r="O1384" s="796"/>
    </row>
    <row r="1385" spans="3:15">
      <c r="C1385" s="788">
        <f>IF(D1355="","-",+C1384+1)</f>
        <v>2039</v>
      </c>
      <c r="D1385" s="736">
        <f t="shared" si="84"/>
        <v>2042202.2000000037</v>
      </c>
      <c r="E1385" s="789">
        <f t="shared" si="89"/>
        <v>177582.8</v>
      </c>
      <c r="F1385" s="736">
        <f t="shared" si="85"/>
        <v>1864619.4000000036</v>
      </c>
      <c r="G1385" s="794">
        <f t="shared" si="86"/>
        <v>459858.14693122444</v>
      </c>
      <c r="H1385" s="795">
        <f t="shared" si="87"/>
        <v>459858.14693122444</v>
      </c>
      <c r="I1385" s="792">
        <f t="shared" si="88"/>
        <v>0</v>
      </c>
      <c r="J1385" s="792"/>
      <c r="K1385" s="812"/>
      <c r="L1385" s="796"/>
      <c r="M1385" s="812"/>
      <c r="N1385" s="796"/>
      <c r="O1385" s="796"/>
    </row>
    <row r="1386" spans="3:15">
      <c r="C1386" s="788">
        <f>IF(D1355="","-",+C1385+1)</f>
        <v>2040</v>
      </c>
      <c r="D1386" s="736">
        <f t="shared" si="84"/>
        <v>1864619.4000000036</v>
      </c>
      <c r="E1386" s="789">
        <f t="shared" si="89"/>
        <v>177582.8</v>
      </c>
      <c r="F1386" s="736">
        <f t="shared" si="85"/>
        <v>1687036.6000000036</v>
      </c>
      <c r="G1386" s="794">
        <f t="shared" si="86"/>
        <v>434196.75175565865</v>
      </c>
      <c r="H1386" s="795">
        <f t="shared" si="87"/>
        <v>434196.75175565865</v>
      </c>
      <c r="I1386" s="792">
        <f t="shared" si="88"/>
        <v>0</v>
      </c>
      <c r="J1386" s="792"/>
      <c r="K1386" s="812"/>
      <c r="L1386" s="796"/>
      <c r="M1386" s="812"/>
      <c r="N1386" s="796"/>
      <c r="O1386" s="796"/>
    </row>
    <row r="1387" spans="3:15">
      <c r="C1387" s="788">
        <f>IF(D1355="","-",+C1386+1)</f>
        <v>2041</v>
      </c>
      <c r="D1387" s="736">
        <f t="shared" si="84"/>
        <v>1687036.6000000036</v>
      </c>
      <c r="E1387" s="789">
        <f t="shared" si="89"/>
        <v>177582.8</v>
      </c>
      <c r="F1387" s="736">
        <f t="shared" si="85"/>
        <v>1509453.8000000035</v>
      </c>
      <c r="G1387" s="794">
        <f t="shared" si="86"/>
        <v>408535.3565800928</v>
      </c>
      <c r="H1387" s="795">
        <f t="shared" si="87"/>
        <v>408535.3565800928</v>
      </c>
      <c r="I1387" s="792">
        <f t="shared" si="88"/>
        <v>0</v>
      </c>
      <c r="J1387" s="792"/>
      <c r="K1387" s="812"/>
      <c r="L1387" s="796"/>
      <c r="M1387" s="812"/>
      <c r="N1387" s="796"/>
      <c r="O1387" s="796"/>
    </row>
    <row r="1388" spans="3:15">
      <c r="C1388" s="788">
        <f>IF(D1355="","-",+C1387+1)</f>
        <v>2042</v>
      </c>
      <c r="D1388" s="736">
        <f t="shared" si="84"/>
        <v>1509453.8000000035</v>
      </c>
      <c r="E1388" s="789">
        <f t="shared" si="89"/>
        <v>177582.8</v>
      </c>
      <c r="F1388" s="736">
        <f t="shared" si="85"/>
        <v>1331871.0000000035</v>
      </c>
      <c r="G1388" s="794">
        <f t="shared" si="86"/>
        <v>382873.96140452701</v>
      </c>
      <c r="H1388" s="795">
        <f t="shared" si="87"/>
        <v>382873.96140452701</v>
      </c>
      <c r="I1388" s="792">
        <f t="shared" si="88"/>
        <v>0</v>
      </c>
      <c r="J1388" s="792"/>
      <c r="K1388" s="812"/>
      <c r="L1388" s="796"/>
      <c r="M1388" s="812"/>
      <c r="N1388" s="796"/>
      <c r="O1388" s="796"/>
    </row>
    <row r="1389" spans="3:15">
      <c r="C1389" s="788">
        <f>IF(D1355="","-",+C1388+1)</f>
        <v>2043</v>
      </c>
      <c r="D1389" s="736">
        <f t="shared" si="84"/>
        <v>1331871.0000000035</v>
      </c>
      <c r="E1389" s="789">
        <f t="shared" si="89"/>
        <v>177582.8</v>
      </c>
      <c r="F1389" s="736">
        <f t="shared" si="85"/>
        <v>1154288.2000000034</v>
      </c>
      <c r="G1389" s="790">
        <f t="shared" si="86"/>
        <v>357212.56622896116</v>
      </c>
      <c r="H1389" s="795">
        <f t="shared" si="87"/>
        <v>357212.56622896116</v>
      </c>
      <c r="I1389" s="792">
        <f t="shared" si="88"/>
        <v>0</v>
      </c>
      <c r="J1389" s="792"/>
      <c r="K1389" s="812"/>
      <c r="L1389" s="796"/>
      <c r="M1389" s="812"/>
      <c r="N1389" s="796"/>
      <c r="O1389" s="796"/>
    </row>
    <row r="1390" spans="3:15">
      <c r="C1390" s="788">
        <f>IF(D1355="","-",+C1389+1)</f>
        <v>2044</v>
      </c>
      <c r="D1390" s="736">
        <f t="shared" si="84"/>
        <v>1154288.2000000034</v>
      </c>
      <c r="E1390" s="789">
        <f t="shared" si="89"/>
        <v>177582.8</v>
      </c>
      <c r="F1390" s="736">
        <f t="shared" si="85"/>
        <v>976705.4000000034</v>
      </c>
      <c r="G1390" s="794">
        <f t="shared" si="86"/>
        <v>331551.17105339537</v>
      </c>
      <c r="H1390" s="795">
        <f t="shared" si="87"/>
        <v>331551.17105339537</v>
      </c>
      <c r="I1390" s="792">
        <f t="shared" si="88"/>
        <v>0</v>
      </c>
      <c r="J1390" s="792"/>
      <c r="K1390" s="812"/>
      <c r="L1390" s="796"/>
      <c r="M1390" s="812"/>
      <c r="N1390" s="796"/>
      <c r="O1390" s="796"/>
    </row>
    <row r="1391" spans="3:15">
      <c r="C1391" s="788">
        <f>IF(D1355="","-",+C1390+1)</f>
        <v>2045</v>
      </c>
      <c r="D1391" s="736">
        <f t="shared" si="84"/>
        <v>976705.4000000034</v>
      </c>
      <c r="E1391" s="789">
        <f t="shared" si="89"/>
        <v>177582.8</v>
      </c>
      <c r="F1391" s="736">
        <f t="shared" si="85"/>
        <v>799122.60000000335</v>
      </c>
      <c r="G1391" s="794">
        <f t="shared" si="86"/>
        <v>305889.77587782952</v>
      </c>
      <c r="H1391" s="795">
        <f t="shared" si="87"/>
        <v>305889.77587782952</v>
      </c>
      <c r="I1391" s="792">
        <f t="shared" si="88"/>
        <v>0</v>
      </c>
      <c r="J1391" s="792"/>
      <c r="K1391" s="812"/>
      <c r="L1391" s="796"/>
      <c r="M1391" s="812"/>
      <c r="N1391" s="796"/>
      <c r="O1391" s="796"/>
    </row>
    <row r="1392" spans="3:15">
      <c r="C1392" s="788">
        <f>IF(D1355="","-",+C1391+1)</f>
        <v>2046</v>
      </c>
      <c r="D1392" s="736">
        <f t="shared" si="84"/>
        <v>799122.60000000335</v>
      </c>
      <c r="E1392" s="789">
        <f t="shared" si="89"/>
        <v>177582.8</v>
      </c>
      <c r="F1392" s="736">
        <f t="shared" si="85"/>
        <v>621539.80000000331</v>
      </c>
      <c r="G1392" s="794">
        <f t="shared" si="86"/>
        <v>280228.38070226373</v>
      </c>
      <c r="H1392" s="795">
        <f t="shared" si="87"/>
        <v>280228.38070226373</v>
      </c>
      <c r="I1392" s="792">
        <f t="shared" si="88"/>
        <v>0</v>
      </c>
      <c r="J1392" s="792"/>
      <c r="K1392" s="812"/>
      <c r="L1392" s="796"/>
      <c r="M1392" s="812"/>
      <c r="N1392" s="796"/>
      <c r="O1392" s="796"/>
    </row>
    <row r="1393" spans="3:15">
      <c r="C1393" s="788">
        <f>IF(D1355="","-",+C1392+1)</f>
        <v>2047</v>
      </c>
      <c r="D1393" s="736">
        <f t="shared" si="84"/>
        <v>621539.80000000331</v>
      </c>
      <c r="E1393" s="789">
        <f t="shared" si="89"/>
        <v>177582.8</v>
      </c>
      <c r="F1393" s="736">
        <f t="shared" si="85"/>
        <v>443957.00000000332</v>
      </c>
      <c r="G1393" s="794">
        <f t="shared" si="86"/>
        <v>254566.98552669788</v>
      </c>
      <c r="H1393" s="795">
        <f t="shared" si="87"/>
        <v>254566.98552669788</v>
      </c>
      <c r="I1393" s="792">
        <f t="shared" si="88"/>
        <v>0</v>
      </c>
      <c r="J1393" s="792"/>
      <c r="K1393" s="812"/>
      <c r="L1393" s="796"/>
      <c r="M1393" s="812"/>
      <c r="N1393" s="796"/>
      <c r="O1393" s="796"/>
    </row>
    <row r="1394" spans="3:15">
      <c r="C1394" s="788">
        <f>IF(D1355="","-",+C1393+1)</f>
        <v>2048</v>
      </c>
      <c r="D1394" s="736">
        <f t="shared" si="84"/>
        <v>443957.00000000332</v>
      </c>
      <c r="E1394" s="789">
        <f t="shared" si="89"/>
        <v>177582.8</v>
      </c>
      <c r="F1394" s="736">
        <f t="shared" si="85"/>
        <v>266374.20000000333</v>
      </c>
      <c r="G1394" s="794">
        <f t="shared" si="86"/>
        <v>228905.59035113209</v>
      </c>
      <c r="H1394" s="795">
        <f t="shared" si="87"/>
        <v>228905.59035113209</v>
      </c>
      <c r="I1394" s="792">
        <f t="shared" si="88"/>
        <v>0</v>
      </c>
      <c r="J1394" s="792"/>
      <c r="K1394" s="812"/>
      <c r="L1394" s="796"/>
      <c r="M1394" s="812"/>
      <c r="N1394" s="796"/>
      <c r="O1394" s="796"/>
    </row>
    <row r="1395" spans="3:15">
      <c r="C1395" s="788">
        <f>IF(D1355="","-",+C1394+1)</f>
        <v>2049</v>
      </c>
      <c r="D1395" s="736">
        <f t="shared" si="84"/>
        <v>266374.20000000333</v>
      </c>
      <c r="E1395" s="789">
        <f t="shared" si="89"/>
        <v>177582.8</v>
      </c>
      <c r="F1395" s="736">
        <f t="shared" si="85"/>
        <v>88791.400000003341</v>
      </c>
      <c r="G1395" s="794">
        <f t="shared" si="86"/>
        <v>203244.19517556627</v>
      </c>
      <c r="H1395" s="795">
        <f t="shared" si="87"/>
        <v>203244.19517556627</v>
      </c>
      <c r="I1395" s="792">
        <f t="shared" si="88"/>
        <v>0</v>
      </c>
      <c r="J1395" s="792"/>
      <c r="K1395" s="812"/>
      <c r="L1395" s="796"/>
      <c r="M1395" s="812"/>
      <c r="N1395" s="796"/>
      <c r="O1395" s="796"/>
    </row>
    <row r="1396" spans="3:15">
      <c r="C1396" s="788">
        <f>IF(D1355="","-",+C1395+1)</f>
        <v>2050</v>
      </c>
      <c r="D1396" s="736">
        <f t="shared" si="84"/>
        <v>88791.400000003341</v>
      </c>
      <c r="E1396" s="789">
        <f t="shared" si="89"/>
        <v>88791.400000003341</v>
      </c>
      <c r="F1396" s="736">
        <f t="shared" si="85"/>
        <v>0</v>
      </c>
      <c r="G1396" s="794">
        <f t="shared" si="86"/>
        <v>95206.748793895036</v>
      </c>
      <c r="H1396" s="795">
        <f t="shared" si="87"/>
        <v>95206.748793895036</v>
      </c>
      <c r="I1396" s="792">
        <f t="shared" si="88"/>
        <v>0</v>
      </c>
      <c r="J1396" s="792"/>
      <c r="K1396" s="812"/>
      <c r="L1396" s="796"/>
      <c r="M1396" s="812"/>
      <c r="N1396" s="796"/>
      <c r="O1396" s="796"/>
    </row>
    <row r="1397" spans="3:15">
      <c r="C1397" s="788">
        <f>IF(D1355="","-",+C1396+1)</f>
        <v>2051</v>
      </c>
      <c r="D1397" s="736">
        <f t="shared" si="84"/>
        <v>0</v>
      </c>
      <c r="E1397" s="789">
        <f t="shared" si="89"/>
        <v>0</v>
      </c>
      <c r="F1397" s="736">
        <f t="shared" si="85"/>
        <v>0</v>
      </c>
      <c r="G1397" s="794">
        <f t="shared" si="86"/>
        <v>0</v>
      </c>
      <c r="H1397" s="795">
        <f t="shared" si="87"/>
        <v>0</v>
      </c>
      <c r="I1397" s="792">
        <f t="shared" si="88"/>
        <v>0</v>
      </c>
      <c r="J1397" s="792"/>
      <c r="K1397" s="812"/>
      <c r="L1397" s="796"/>
      <c r="M1397" s="812"/>
      <c r="N1397" s="796"/>
      <c r="O1397" s="796"/>
    </row>
    <row r="1398" spans="3:15">
      <c r="C1398" s="788">
        <f>IF(D1355="","-",+C1397+1)</f>
        <v>2052</v>
      </c>
      <c r="D1398" s="736">
        <f t="shared" si="84"/>
        <v>0</v>
      </c>
      <c r="E1398" s="789">
        <f t="shared" si="89"/>
        <v>0</v>
      </c>
      <c r="F1398" s="736">
        <f t="shared" si="85"/>
        <v>0</v>
      </c>
      <c r="G1398" s="794">
        <f t="shared" si="86"/>
        <v>0</v>
      </c>
      <c r="H1398" s="795">
        <f t="shared" si="87"/>
        <v>0</v>
      </c>
      <c r="I1398" s="792">
        <f t="shared" si="88"/>
        <v>0</v>
      </c>
      <c r="J1398" s="792"/>
      <c r="K1398" s="812"/>
      <c r="L1398" s="796"/>
      <c r="M1398" s="812"/>
      <c r="N1398" s="796"/>
      <c r="O1398" s="796"/>
    </row>
    <row r="1399" spans="3:15">
      <c r="C1399" s="788">
        <f>IF(D1355="","-",+C1398+1)</f>
        <v>2053</v>
      </c>
      <c r="D1399" s="736">
        <f t="shared" si="84"/>
        <v>0</v>
      </c>
      <c r="E1399" s="789">
        <f t="shared" si="89"/>
        <v>0</v>
      </c>
      <c r="F1399" s="736">
        <f t="shared" si="85"/>
        <v>0</v>
      </c>
      <c r="G1399" s="794">
        <f t="shared" si="86"/>
        <v>0</v>
      </c>
      <c r="H1399" s="795">
        <f t="shared" si="87"/>
        <v>0</v>
      </c>
      <c r="I1399" s="792">
        <f t="shared" si="88"/>
        <v>0</v>
      </c>
      <c r="J1399" s="792"/>
      <c r="K1399" s="812"/>
      <c r="L1399" s="796"/>
      <c r="M1399" s="812"/>
      <c r="N1399" s="796"/>
      <c r="O1399" s="796"/>
    </row>
    <row r="1400" spans="3:15">
      <c r="C1400" s="788">
        <f>IF(D1355="","-",+C1399+1)</f>
        <v>2054</v>
      </c>
      <c r="D1400" s="736">
        <f t="shared" si="84"/>
        <v>0</v>
      </c>
      <c r="E1400" s="789">
        <f t="shared" si="89"/>
        <v>0</v>
      </c>
      <c r="F1400" s="736">
        <f t="shared" si="85"/>
        <v>0</v>
      </c>
      <c r="G1400" s="794">
        <f t="shared" si="86"/>
        <v>0</v>
      </c>
      <c r="H1400" s="795">
        <f t="shared" si="87"/>
        <v>0</v>
      </c>
      <c r="I1400" s="792">
        <f t="shared" si="88"/>
        <v>0</v>
      </c>
      <c r="J1400" s="792"/>
      <c r="K1400" s="812"/>
      <c r="L1400" s="796"/>
      <c r="M1400" s="812"/>
      <c r="N1400" s="796"/>
      <c r="O1400" s="796"/>
    </row>
    <row r="1401" spans="3:15">
      <c r="C1401" s="788">
        <f>IF(D1355="","-",+C1400+1)</f>
        <v>2055</v>
      </c>
      <c r="D1401" s="736">
        <f t="shared" si="84"/>
        <v>0</v>
      </c>
      <c r="E1401" s="789">
        <f t="shared" si="89"/>
        <v>0</v>
      </c>
      <c r="F1401" s="736">
        <f t="shared" si="85"/>
        <v>0</v>
      </c>
      <c r="G1401" s="794">
        <f t="shared" si="86"/>
        <v>0</v>
      </c>
      <c r="H1401" s="795">
        <f t="shared" si="87"/>
        <v>0</v>
      </c>
      <c r="I1401" s="792">
        <f t="shared" si="88"/>
        <v>0</v>
      </c>
      <c r="J1401" s="792"/>
      <c r="K1401" s="812"/>
      <c r="L1401" s="796"/>
      <c r="M1401" s="812"/>
      <c r="N1401" s="796"/>
      <c r="O1401" s="796"/>
    </row>
    <row r="1402" spans="3:15">
      <c r="C1402" s="788">
        <f>IF(D1355="","-",+C1401+1)</f>
        <v>2056</v>
      </c>
      <c r="D1402" s="736">
        <f t="shared" si="84"/>
        <v>0</v>
      </c>
      <c r="E1402" s="789">
        <f t="shared" si="89"/>
        <v>0</v>
      </c>
      <c r="F1402" s="736">
        <f t="shared" si="85"/>
        <v>0</v>
      </c>
      <c r="G1402" s="794">
        <f t="shared" si="86"/>
        <v>0</v>
      </c>
      <c r="H1402" s="795">
        <f t="shared" si="87"/>
        <v>0</v>
      </c>
      <c r="I1402" s="792">
        <f t="shared" si="88"/>
        <v>0</v>
      </c>
      <c r="J1402" s="792"/>
      <c r="K1402" s="812"/>
      <c r="L1402" s="796"/>
      <c r="M1402" s="812"/>
      <c r="N1402" s="796"/>
      <c r="O1402" s="796"/>
    </row>
    <row r="1403" spans="3:15">
      <c r="C1403" s="788">
        <f>IF(D1355="","-",+C1402+1)</f>
        <v>2057</v>
      </c>
      <c r="D1403" s="736">
        <f t="shared" si="84"/>
        <v>0</v>
      </c>
      <c r="E1403" s="789">
        <f t="shared" si="89"/>
        <v>0</v>
      </c>
      <c r="F1403" s="736">
        <f t="shared" si="85"/>
        <v>0</v>
      </c>
      <c r="G1403" s="794">
        <f t="shared" si="86"/>
        <v>0</v>
      </c>
      <c r="H1403" s="795">
        <f t="shared" si="87"/>
        <v>0</v>
      </c>
      <c r="I1403" s="792">
        <f t="shared" si="88"/>
        <v>0</v>
      </c>
      <c r="J1403" s="792"/>
      <c r="K1403" s="812"/>
      <c r="L1403" s="796"/>
      <c r="M1403" s="812"/>
      <c r="N1403" s="796"/>
      <c r="O1403" s="796"/>
    </row>
    <row r="1404" spans="3:15">
      <c r="C1404" s="788">
        <f>IF(D1355="","-",+C1403+1)</f>
        <v>2058</v>
      </c>
      <c r="D1404" s="736">
        <f t="shared" si="84"/>
        <v>0</v>
      </c>
      <c r="E1404" s="789">
        <f t="shared" si="89"/>
        <v>0</v>
      </c>
      <c r="F1404" s="736">
        <f t="shared" si="85"/>
        <v>0</v>
      </c>
      <c r="G1404" s="794">
        <f t="shared" si="86"/>
        <v>0</v>
      </c>
      <c r="H1404" s="795">
        <f t="shared" si="87"/>
        <v>0</v>
      </c>
      <c r="I1404" s="792">
        <f t="shared" si="88"/>
        <v>0</v>
      </c>
      <c r="J1404" s="792"/>
      <c r="K1404" s="812"/>
      <c r="L1404" s="796"/>
      <c r="M1404" s="812"/>
      <c r="N1404" s="796"/>
      <c r="O1404" s="796"/>
    </row>
    <row r="1405" spans="3:15">
      <c r="C1405" s="788">
        <f>IF(D1355="","-",+C1404+1)</f>
        <v>2059</v>
      </c>
      <c r="D1405" s="736">
        <f t="shared" si="84"/>
        <v>0</v>
      </c>
      <c r="E1405" s="789">
        <f t="shared" si="89"/>
        <v>0</v>
      </c>
      <c r="F1405" s="736">
        <f t="shared" si="85"/>
        <v>0</v>
      </c>
      <c r="G1405" s="794">
        <f t="shared" si="86"/>
        <v>0</v>
      </c>
      <c r="H1405" s="795">
        <f t="shared" si="87"/>
        <v>0</v>
      </c>
      <c r="I1405" s="792">
        <f t="shared" si="88"/>
        <v>0</v>
      </c>
      <c r="J1405" s="792"/>
      <c r="K1405" s="812"/>
      <c r="L1405" s="796"/>
      <c r="M1405" s="812"/>
      <c r="N1405" s="796"/>
      <c r="O1405" s="796"/>
    </row>
    <row r="1406" spans="3:15">
      <c r="C1406" s="788">
        <f>IF(D1355="","-",+C1405+1)</f>
        <v>2060</v>
      </c>
      <c r="D1406" s="736">
        <f t="shared" si="84"/>
        <v>0</v>
      </c>
      <c r="E1406" s="789">
        <f t="shared" si="89"/>
        <v>0</v>
      </c>
      <c r="F1406" s="736">
        <f t="shared" si="85"/>
        <v>0</v>
      </c>
      <c r="G1406" s="794">
        <f t="shared" si="86"/>
        <v>0</v>
      </c>
      <c r="H1406" s="795">
        <f t="shared" si="87"/>
        <v>0</v>
      </c>
      <c r="I1406" s="792">
        <f t="shared" si="88"/>
        <v>0</v>
      </c>
      <c r="J1406" s="792"/>
      <c r="K1406" s="812"/>
      <c r="L1406" s="796"/>
      <c r="M1406" s="812"/>
      <c r="N1406" s="796"/>
      <c r="O1406" s="796"/>
    </row>
    <row r="1407" spans="3:15">
      <c r="C1407" s="788">
        <f>IF(D1355="","-",+C1406+1)</f>
        <v>2061</v>
      </c>
      <c r="D1407" s="736">
        <f t="shared" si="84"/>
        <v>0</v>
      </c>
      <c r="E1407" s="789">
        <f t="shared" si="89"/>
        <v>0</v>
      </c>
      <c r="F1407" s="736">
        <f t="shared" si="85"/>
        <v>0</v>
      </c>
      <c r="G1407" s="794">
        <f t="shared" si="86"/>
        <v>0</v>
      </c>
      <c r="H1407" s="795">
        <f t="shared" si="87"/>
        <v>0</v>
      </c>
      <c r="I1407" s="792">
        <f t="shared" si="88"/>
        <v>0</v>
      </c>
      <c r="J1407" s="792"/>
      <c r="K1407" s="812"/>
      <c r="L1407" s="796"/>
      <c r="M1407" s="812"/>
      <c r="N1407" s="796"/>
      <c r="O1407" s="796"/>
    </row>
    <row r="1408" spans="3:15">
      <c r="C1408" s="788">
        <f>IF(D1355="","-",+C1407+1)</f>
        <v>2062</v>
      </c>
      <c r="D1408" s="736">
        <f t="shared" si="84"/>
        <v>0</v>
      </c>
      <c r="E1408" s="789">
        <f t="shared" si="89"/>
        <v>0</v>
      </c>
      <c r="F1408" s="736">
        <f t="shared" si="85"/>
        <v>0</v>
      </c>
      <c r="G1408" s="794">
        <f t="shared" si="86"/>
        <v>0</v>
      </c>
      <c r="H1408" s="795">
        <f t="shared" si="87"/>
        <v>0</v>
      </c>
      <c r="I1408" s="792">
        <f t="shared" si="88"/>
        <v>0</v>
      </c>
      <c r="J1408" s="792"/>
      <c r="K1408" s="812"/>
      <c r="L1408" s="796"/>
      <c r="M1408" s="812"/>
      <c r="N1408" s="796"/>
      <c r="O1408" s="796"/>
    </row>
    <row r="1409" spans="3:15">
      <c r="C1409" s="788">
        <f>IF(D1355="","-",+C1408+1)</f>
        <v>2063</v>
      </c>
      <c r="D1409" s="736">
        <f t="shared" si="84"/>
        <v>0</v>
      </c>
      <c r="E1409" s="789">
        <f t="shared" si="89"/>
        <v>0</v>
      </c>
      <c r="F1409" s="736">
        <f t="shared" si="85"/>
        <v>0</v>
      </c>
      <c r="G1409" s="794">
        <f t="shared" si="86"/>
        <v>0</v>
      </c>
      <c r="H1409" s="795">
        <f t="shared" si="87"/>
        <v>0</v>
      </c>
      <c r="I1409" s="792">
        <f t="shared" si="88"/>
        <v>0</v>
      </c>
      <c r="J1409" s="792"/>
      <c r="K1409" s="812"/>
      <c r="L1409" s="796"/>
      <c r="M1409" s="812"/>
      <c r="N1409" s="796"/>
      <c r="O1409" s="796"/>
    </row>
    <row r="1410" spans="3:15">
      <c r="C1410" s="788">
        <f>IF(D1355="","-",+C1409+1)</f>
        <v>2064</v>
      </c>
      <c r="D1410" s="736">
        <f t="shared" si="84"/>
        <v>0</v>
      </c>
      <c r="E1410" s="789">
        <f t="shared" si="89"/>
        <v>0</v>
      </c>
      <c r="F1410" s="736">
        <f t="shared" si="85"/>
        <v>0</v>
      </c>
      <c r="G1410" s="794">
        <f t="shared" si="86"/>
        <v>0</v>
      </c>
      <c r="H1410" s="795">
        <f t="shared" si="87"/>
        <v>0</v>
      </c>
      <c r="I1410" s="792">
        <f t="shared" si="88"/>
        <v>0</v>
      </c>
      <c r="J1410" s="792"/>
      <c r="K1410" s="812"/>
      <c r="L1410" s="796"/>
      <c r="M1410" s="812"/>
      <c r="N1410" s="796"/>
      <c r="O1410" s="796"/>
    </row>
    <row r="1411" spans="3:15">
      <c r="C1411" s="788">
        <f>IF(D1355="","-",+C1410+1)</f>
        <v>2065</v>
      </c>
      <c r="D1411" s="736">
        <f t="shared" si="84"/>
        <v>0</v>
      </c>
      <c r="E1411" s="789">
        <f t="shared" si="89"/>
        <v>0</v>
      </c>
      <c r="F1411" s="736">
        <f t="shared" si="85"/>
        <v>0</v>
      </c>
      <c r="G1411" s="794">
        <f t="shared" si="86"/>
        <v>0</v>
      </c>
      <c r="H1411" s="795">
        <f t="shared" si="87"/>
        <v>0</v>
      </c>
      <c r="I1411" s="792">
        <f t="shared" si="88"/>
        <v>0</v>
      </c>
      <c r="J1411" s="792"/>
      <c r="K1411" s="812"/>
      <c r="L1411" s="796"/>
      <c r="M1411" s="812"/>
      <c r="N1411" s="796"/>
      <c r="O1411" s="796"/>
    </row>
    <row r="1412" spans="3:15">
      <c r="C1412" s="788">
        <f>IF(D1355="","-",+C1411+1)</f>
        <v>2066</v>
      </c>
      <c r="D1412" s="736">
        <f t="shared" si="84"/>
        <v>0</v>
      </c>
      <c r="E1412" s="789">
        <f t="shared" si="89"/>
        <v>0</v>
      </c>
      <c r="F1412" s="736">
        <f t="shared" si="85"/>
        <v>0</v>
      </c>
      <c r="G1412" s="794">
        <f t="shared" si="86"/>
        <v>0</v>
      </c>
      <c r="H1412" s="795">
        <f t="shared" si="87"/>
        <v>0</v>
      </c>
      <c r="I1412" s="792">
        <f t="shared" si="88"/>
        <v>0</v>
      </c>
      <c r="J1412" s="792"/>
      <c r="K1412" s="812"/>
      <c r="L1412" s="796"/>
      <c r="M1412" s="812"/>
      <c r="N1412" s="796"/>
      <c r="O1412" s="796"/>
    </row>
    <row r="1413" spans="3:15">
      <c r="C1413" s="788">
        <f>IF(D1355="","-",+C1412+1)</f>
        <v>2067</v>
      </c>
      <c r="D1413" s="736">
        <f t="shared" si="84"/>
        <v>0</v>
      </c>
      <c r="E1413" s="789">
        <f t="shared" si="89"/>
        <v>0</v>
      </c>
      <c r="F1413" s="736">
        <f t="shared" si="85"/>
        <v>0</v>
      </c>
      <c r="G1413" s="794">
        <f t="shared" si="86"/>
        <v>0</v>
      </c>
      <c r="H1413" s="795">
        <f t="shared" si="87"/>
        <v>0</v>
      </c>
      <c r="I1413" s="792">
        <f t="shared" si="88"/>
        <v>0</v>
      </c>
      <c r="J1413" s="792"/>
      <c r="K1413" s="812"/>
      <c r="L1413" s="796"/>
      <c r="M1413" s="812"/>
      <c r="N1413" s="796"/>
      <c r="O1413" s="796"/>
    </row>
    <row r="1414" spans="3:15">
      <c r="C1414" s="788">
        <f>IF(D1355="","-",+C1413+1)</f>
        <v>2068</v>
      </c>
      <c r="D1414" s="736">
        <f t="shared" si="84"/>
        <v>0</v>
      </c>
      <c r="E1414" s="789">
        <f t="shared" si="89"/>
        <v>0</v>
      </c>
      <c r="F1414" s="736">
        <f t="shared" si="85"/>
        <v>0</v>
      </c>
      <c r="G1414" s="794">
        <f t="shared" si="86"/>
        <v>0</v>
      </c>
      <c r="H1414" s="795">
        <f t="shared" si="87"/>
        <v>0</v>
      </c>
      <c r="I1414" s="792">
        <f t="shared" si="88"/>
        <v>0</v>
      </c>
      <c r="J1414" s="792"/>
      <c r="K1414" s="812"/>
      <c r="L1414" s="796"/>
      <c r="M1414" s="812"/>
      <c r="N1414" s="796"/>
      <c r="O1414" s="796"/>
    </row>
    <row r="1415" spans="3:15">
      <c r="C1415" s="788">
        <f>IF(D1355="","-",+C1414+1)</f>
        <v>2069</v>
      </c>
      <c r="D1415" s="736">
        <f t="shared" si="84"/>
        <v>0</v>
      </c>
      <c r="E1415" s="789">
        <f t="shared" si="89"/>
        <v>0</v>
      </c>
      <c r="F1415" s="736">
        <f t="shared" si="85"/>
        <v>0</v>
      </c>
      <c r="G1415" s="794">
        <f t="shared" si="86"/>
        <v>0</v>
      </c>
      <c r="H1415" s="795">
        <f t="shared" si="87"/>
        <v>0</v>
      </c>
      <c r="I1415" s="792">
        <f t="shared" si="88"/>
        <v>0</v>
      </c>
      <c r="J1415" s="792"/>
      <c r="K1415" s="812"/>
      <c r="L1415" s="796"/>
      <c r="M1415" s="812"/>
      <c r="N1415" s="796"/>
      <c r="O1415" s="796"/>
    </row>
    <row r="1416" spans="3:15">
      <c r="C1416" s="788">
        <f>IF(D1355="","-",+C1415+1)</f>
        <v>2070</v>
      </c>
      <c r="D1416" s="736">
        <f t="shared" si="84"/>
        <v>0</v>
      </c>
      <c r="E1416" s="789">
        <f t="shared" si="89"/>
        <v>0</v>
      </c>
      <c r="F1416" s="736">
        <f t="shared" si="85"/>
        <v>0</v>
      </c>
      <c r="G1416" s="794">
        <f t="shared" si="86"/>
        <v>0</v>
      </c>
      <c r="H1416" s="795">
        <f t="shared" si="87"/>
        <v>0</v>
      </c>
      <c r="I1416" s="792">
        <f t="shared" si="88"/>
        <v>0</v>
      </c>
      <c r="J1416" s="792"/>
      <c r="K1416" s="812"/>
      <c r="L1416" s="796"/>
      <c r="M1416" s="812"/>
      <c r="N1416" s="796"/>
      <c r="O1416" s="796"/>
    </row>
    <row r="1417" spans="3:15">
      <c r="C1417" s="788">
        <f>IF(D1355="","-",+C1416+1)</f>
        <v>2071</v>
      </c>
      <c r="D1417" s="736">
        <f t="shared" si="84"/>
        <v>0</v>
      </c>
      <c r="E1417" s="789">
        <f t="shared" si="89"/>
        <v>0</v>
      </c>
      <c r="F1417" s="736">
        <f t="shared" si="85"/>
        <v>0</v>
      </c>
      <c r="G1417" s="794">
        <f t="shared" si="86"/>
        <v>0</v>
      </c>
      <c r="H1417" s="795">
        <f t="shared" si="87"/>
        <v>0</v>
      </c>
      <c r="I1417" s="792">
        <f t="shared" si="88"/>
        <v>0</v>
      </c>
      <c r="J1417" s="792"/>
      <c r="K1417" s="812"/>
      <c r="L1417" s="796"/>
      <c r="M1417" s="812"/>
      <c r="N1417" s="796"/>
      <c r="O1417" s="796"/>
    </row>
    <row r="1418" spans="3:15">
      <c r="C1418" s="788">
        <f>IF(D1355="","-",+C1417+1)</f>
        <v>2072</v>
      </c>
      <c r="D1418" s="736">
        <f t="shared" si="84"/>
        <v>0</v>
      </c>
      <c r="E1418" s="789">
        <f t="shared" si="89"/>
        <v>0</v>
      </c>
      <c r="F1418" s="736">
        <f t="shared" si="85"/>
        <v>0</v>
      </c>
      <c r="G1418" s="794">
        <f t="shared" si="86"/>
        <v>0</v>
      </c>
      <c r="H1418" s="795">
        <f t="shared" si="87"/>
        <v>0</v>
      </c>
      <c r="I1418" s="792">
        <f t="shared" si="88"/>
        <v>0</v>
      </c>
      <c r="J1418" s="792"/>
      <c r="K1418" s="812"/>
      <c r="L1418" s="796"/>
      <c r="M1418" s="812"/>
      <c r="N1418" s="796"/>
      <c r="O1418" s="796"/>
    </row>
    <row r="1419" spans="3:15">
      <c r="C1419" s="788">
        <f>IF(D1355="","-",+C1418+1)</f>
        <v>2073</v>
      </c>
      <c r="D1419" s="736">
        <f t="shared" si="84"/>
        <v>0</v>
      </c>
      <c r="E1419" s="789">
        <f t="shared" si="89"/>
        <v>0</v>
      </c>
      <c r="F1419" s="736">
        <f t="shared" si="85"/>
        <v>0</v>
      </c>
      <c r="G1419" s="794">
        <f t="shared" si="86"/>
        <v>0</v>
      </c>
      <c r="H1419" s="795">
        <f t="shared" si="87"/>
        <v>0</v>
      </c>
      <c r="I1419" s="792">
        <f t="shared" si="88"/>
        <v>0</v>
      </c>
      <c r="J1419" s="792"/>
      <c r="K1419" s="812"/>
      <c r="L1419" s="796"/>
      <c r="M1419" s="812"/>
      <c r="N1419" s="796"/>
      <c r="O1419" s="796"/>
    </row>
    <row r="1420" spans="3:15" ht="13.5" thickBot="1">
      <c r="C1420" s="798">
        <f>IF(D1355="","-",+C1419+1)</f>
        <v>2074</v>
      </c>
      <c r="D1420" s="799">
        <f t="shared" si="84"/>
        <v>0</v>
      </c>
      <c r="E1420" s="800">
        <f t="shared" si="89"/>
        <v>0</v>
      </c>
      <c r="F1420" s="799">
        <f t="shared" si="85"/>
        <v>0</v>
      </c>
      <c r="G1420" s="801">
        <f t="shared" si="86"/>
        <v>0</v>
      </c>
      <c r="H1420" s="801">
        <f t="shared" si="87"/>
        <v>0</v>
      </c>
      <c r="I1420" s="802">
        <f t="shared" si="88"/>
        <v>0</v>
      </c>
      <c r="J1420" s="792"/>
      <c r="K1420" s="813"/>
      <c r="L1420" s="803"/>
      <c r="M1420" s="813"/>
      <c r="N1420" s="803"/>
      <c r="O1420" s="803"/>
    </row>
    <row r="1421" spans="3:15">
      <c r="C1421" s="736" t="s">
        <v>83</v>
      </c>
      <c r="D1421" s="730"/>
      <c r="E1421" s="730">
        <f>SUM(E1361:E1420)</f>
        <v>6215397.9999999991</v>
      </c>
      <c r="F1421" s="730"/>
      <c r="G1421" s="730">
        <f>SUM(G1361:G1420)</f>
        <v>22382076.960606474</v>
      </c>
      <c r="H1421" s="730">
        <f>SUM(H1361:H1420)</f>
        <v>22382076.960606474</v>
      </c>
      <c r="I1421" s="730">
        <f>SUM(I1361:I1420)</f>
        <v>0</v>
      </c>
      <c r="J1421" s="730"/>
      <c r="K1421" s="730"/>
      <c r="L1421" s="730"/>
      <c r="M1421" s="730"/>
      <c r="N1421" s="730"/>
      <c r="O1421" s="313"/>
    </row>
    <row r="1422" spans="3:15">
      <c r="D1422" s="538"/>
      <c r="E1422" s="313"/>
      <c r="F1422" s="313"/>
      <c r="G1422" s="313"/>
      <c r="H1422" s="708"/>
      <c r="I1422" s="708"/>
      <c r="J1422" s="730"/>
      <c r="K1422" s="708"/>
      <c r="L1422" s="708"/>
      <c r="M1422" s="708"/>
      <c r="N1422" s="708"/>
      <c r="O1422" s="313"/>
    </row>
    <row r="1423" spans="3:15">
      <c r="C1423" s="313" t="s">
        <v>13</v>
      </c>
      <c r="D1423" s="538"/>
      <c r="E1423" s="313"/>
      <c r="F1423" s="313"/>
      <c r="G1423" s="313"/>
      <c r="H1423" s="708"/>
      <c r="I1423" s="708"/>
      <c r="J1423" s="730"/>
      <c r="K1423" s="708"/>
      <c r="L1423" s="708"/>
      <c r="M1423" s="708"/>
      <c r="N1423" s="708"/>
      <c r="O1423" s="313"/>
    </row>
    <row r="1424" spans="3:15">
      <c r="C1424" s="313"/>
      <c r="D1424" s="538"/>
      <c r="E1424" s="313"/>
      <c r="F1424" s="313"/>
      <c r="G1424" s="313"/>
      <c r="H1424" s="708"/>
      <c r="I1424" s="708"/>
      <c r="J1424" s="730"/>
      <c r="K1424" s="708"/>
      <c r="L1424" s="708"/>
      <c r="M1424" s="708"/>
      <c r="N1424" s="708"/>
      <c r="O1424" s="313"/>
    </row>
    <row r="1425" spans="1:16">
      <c r="C1425" s="749" t="s">
        <v>14</v>
      </c>
      <c r="D1425" s="736"/>
      <c r="E1425" s="736"/>
      <c r="F1425" s="736"/>
      <c r="G1425" s="730"/>
      <c r="H1425" s="730"/>
      <c r="I1425" s="804"/>
      <c r="J1425" s="804"/>
      <c r="K1425" s="804"/>
      <c r="L1425" s="804"/>
      <c r="M1425" s="804"/>
      <c r="N1425" s="804"/>
      <c r="O1425" s="313"/>
    </row>
    <row r="1426" spans="1:16">
      <c r="C1426" s="735" t="s">
        <v>263</v>
      </c>
      <c r="D1426" s="736"/>
      <c r="E1426" s="736"/>
      <c r="F1426" s="736"/>
      <c r="G1426" s="730"/>
      <c r="H1426" s="730"/>
      <c r="I1426" s="804"/>
      <c r="J1426" s="804"/>
      <c r="K1426" s="804"/>
      <c r="L1426" s="804"/>
      <c r="M1426" s="804"/>
      <c r="N1426" s="804"/>
      <c r="O1426" s="313"/>
    </row>
    <row r="1427" spans="1:16">
      <c r="C1427" s="735" t="s">
        <v>84</v>
      </c>
      <c r="D1427" s="736"/>
      <c r="E1427" s="736"/>
      <c r="F1427" s="736"/>
      <c r="G1427" s="730"/>
      <c r="H1427" s="730"/>
      <c r="I1427" s="804"/>
      <c r="J1427" s="804"/>
      <c r="K1427" s="804"/>
      <c r="L1427" s="804"/>
      <c r="M1427" s="804"/>
      <c r="N1427" s="804"/>
      <c r="O1427" s="313"/>
    </row>
    <row r="1428" spans="1:16">
      <c r="C1428" s="735"/>
      <c r="D1428" s="736"/>
      <c r="E1428" s="736"/>
      <c r="F1428" s="736"/>
      <c r="G1428" s="730"/>
      <c r="H1428" s="730"/>
      <c r="I1428" s="804"/>
      <c r="J1428" s="804"/>
      <c r="K1428" s="804"/>
      <c r="L1428" s="804"/>
      <c r="M1428" s="804"/>
      <c r="N1428" s="804"/>
      <c r="O1428" s="313"/>
    </row>
    <row r="1429" spans="1:16">
      <c r="C1429" s="1547" t="s">
        <v>6</v>
      </c>
      <c r="D1429" s="1547"/>
      <c r="E1429" s="1547"/>
      <c r="F1429" s="1547"/>
      <c r="G1429" s="1547"/>
      <c r="H1429" s="1547"/>
      <c r="I1429" s="1547"/>
      <c r="J1429" s="1547"/>
      <c r="K1429" s="1547"/>
      <c r="L1429" s="1547"/>
      <c r="M1429" s="1547"/>
      <c r="N1429" s="1547"/>
      <c r="O1429" s="1547"/>
    </row>
    <row r="1430" spans="1:16">
      <c r="C1430" s="1547"/>
      <c r="D1430" s="1547"/>
      <c r="E1430" s="1547"/>
      <c r="F1430" s="1547"/>
      <c r="G1430" s="1547"/>
      <c r="H1430" s="1547"/>
      <c r="I1430" s="1547"/>
      <c r="J1430" s="1547"/>
      <c r="K1430" s="1547"/>
      <c r="L1430" s="1547"/>
      <c r="M1430" s="1547"/>
      <c r="N1430" s="1547"/>
      <c r="O1430" s="1547"/>
    </row>
    <row r="1431" spans="1:16">
      <c r="C1431" s="735"/>
      <c r="D1431" s="736"/>
      <c r="E1431" s="736"/>
      <c r="F1431" s="736"/>
      <c r="G1431" s="730"/>
      <c r="H1431" s="730"/>
    </row>
    <row r="1432" spans="1:16" ht="20.25">
      <c r="A1432" s="737" t="str">
        <f>""&amp;A1356&amp;" Worksheet J -  ATRR PROJECTED Calculation for PJM Projects Charged to Benefiting Zones"</f>
        <v xml:space="preserve"> Worksheet J -  ATRR PROJECTED Calculation for PJM Projects Charged to Benefiting Zones</v>
      </c>
      <c r="B1432" s="347"/>
      <c r="C1432" s="725"/>
      <c r="D1432" s="538"/>
      <c r="E1432" s="313"/>
      <c r="F1432" s="707"/>
      <c r="G1432" s="313"/>
      <c r="H1432" s="708"/>
      <c r="K1432" s="564"/>
      <c r="L1432" s="564"/>
      <c r="M1432" s="564"/>
      <c r="N1432" s="653" t="str">
        <f>"Page "&amp;SUM(P$8:P1432)&amp;" of "</f>
        <v xml:space="preserve">Page 17 of </v>
      </c>
      <c r="O1432" s="654">
        <f>COUNT(P$8:P$56653)</f>
        <v>23</v>
      </c>
      <c r="P1432" s="172">
        <v>1</v>
      </c>
    </row>
    <row r="1433" spans="1:16">
      <c r="B1433" s="347"/>
      <c r="C1433" s="313"/>
      <c r="D1433" s="538"/>
      <c r="E1433" s="313"/>
      <c r="F1433" s="313"/>
      <c r="G1433" s="313"/>
      <c r="H1433" s="708"/>
      <c r="I1433" s="313"/>
      <c r="J1433" s="426"/>
      <c r="K1433" s="313"/>
      <c r="L1433" s="313"/>
      <c r="M1433" s="313"/>
      <c r="N1433" s="313"/>
      <c r="O1433" s="313"/>
    </row>
    <row r="1434" spans="1:16" ht="18">
      <c r="B1434" s="657" t="s">
        <v>466</v>
      </c>
      <c r="C1434" s="739" t="s">
        <v>85</v>
      </c>
      <c r="D1434" s="538"/>
      <c r="E1434" s="313"/>
      <c r="F1434" s="313"/>
      <c r="G1434" s="313"/>
      <c r="H1434" s="708"/>
      <c r="I1434" s="708"/>
      <c r="J1434" s="730"/>
      <c r="K1434" s="708"/>
      <c r="L1434" s="708"/>
      <c r="M1434" s="708"/>
      <c r="N1434" s="708"/>
      <c r="O1434" s="313"/>
    </row>
    <row r="1435" spans="1:16" ht="18.75">
      <c r="B1435" s="657"/>
      <c r="C1435" s="656"/>
      <c r="D1435" s="538"/>
      <c r="E1435" s="313"/>
      <c r="F1435" s="313"/>
      <c r="G1435" s="313"/>
      <c r="H1435" s="708"/>
      <c r="I1435" s="708"/>
      <c r="J1435" s="730"/>
      <c r="K1435" s="708"/>
      <c r="L1435" s="708"/>
      <c r="M1435" s="708"/>
      <c r="N1435" s="708"/>
      <c r="O1435" s="313"/>
    </row>
    <row r="1436" spans="1:16" ht="18.75">
      <c r="B1436" s="657"/>
      <c r="C1436" s="656" t="s">
        <v>86</v>
      </c>
      <c r="D1436" s="538"/>
      <c r="E1436" s="313"/>
      <c r="F1436" s="313"/>
      <c r="G1436" s="313"/>
      <c r="H1436" s="708"/>
      <c r="I1436" s="708"/>
      <c r="J1436" s="730"/>
      <c r="K1436" s="708"/>
      <c r="L1436" s="708"/>
      <c r="M1436" s="708"/>
      <c r="N1436" s="708"/>
      <c r="O1436" s="313"/>
    </row>
    <row r="1437" spans="1:16" ht="15.75" thickBot="1">
      <c r="C1437" s="239"/>
      <c r="D1437" s="538"/>
      <c r="E1437" s="313"/>
      <c r="F1437" s="313"/>
      <c r="G1437" s="313"/>
      <c r="H1437" s="708"/>
      <c r="I1437" s="708"/>
      <c r="J1437" s="730"/>
      <c r="K1437" s="708"/>
      <c r="L1437" s="708"/>
      <c r="M1437" s="708"/>
      <c r="N1437" s="708"/>
      <c r="O1437" s="313"/>
    </row>
    <row r="1438" spans="1:16" ht="15.75">
      <c r="C1438" s="659" t="s">
        <v>87</v>
      </c>
      <c r="D1438" s="538"/>
      <c r="E1438" s="313"/>
      <c r="F1438" s="313"/>
      <c r="G1438" s="806"/>
      <c r="H1438" s="313" t="s">
        <v>66</v>
      </c>
      <c r="I1438" s="313"/>
      <c r="J1438" s="426"/>
      <c r="K1438" s="740" t="s">
        <v>91</v>
      </c>
      <c r="L1438" s="741"/>
      <c r="M1438" s="742"/>
      <c r="N1438" s="743">
        <f>IF(I1444=0,0,VLOOKUP(I1444,C1451:O1510,5))</f>
        <v>2584868.8219603375</v>
      </c>
      <c r="O1438" s="313"/>
    </row>
    <row r="1439" spans="1:16" ht="15.75">
      <c r="C1439" s="659"/>
      <c r="D1439" s="538"/>
      <c r="E1439" s="313"/>
      <c r="F1439" s="313"/>
      <c r="G1439" s="313"/>
      <c r="H1439" s="744"/>
      <c r="I1439" s="744"/>
      <c r="J1439" s="745"/>
      <c r="K1439" s="746" t="s">
        <v>92</v>
      </c>
      <c r="L1439" s="747"/>
      <c r="M1439" s="426"/>
      <c r="N1439" s="748">
        <f>IF(I1444=0,0,VLOOKUP(I1444,C1451:O1510,6))</f>
        <v>2584868.8219603375</v>
      </c>
      <c r="O1439" s="313"/>
    </row>
    <row r="1440" spans="1:16" ht="13.5" customHeight="1" thickBot="1">
      <c r="C1440" s="749" t="s">
        <v>88</v>
      </c>
      <c r="D1440" s="1537" t="s">
        <v>825</v>
      </c>
      <c r="E1440" s="1537"/>
      <c r="F1440" s="1537"/>
      <c r="G1440" s="1537"/>
      <c r="H1440" s="1537"/>
      <c r="I1440" s="1537"/>
      <c r="J1440" s="730"/>
      <c r="K1440" s="750" t="s">
        <v>230</v>
      </c>
      <c r="L1440" s="751"/>
      <c r="M1440" s="751"/>
      <c r="N1440" s="752">
        <f>+N1439-N1438</f>
        <v>0</v>
      </c>
      <c r="O1440" s="313"/>
    </row>
    <row r="1441" spans="2:15">
      <c r="C1441" s="753"/>
      <c r="D1441" s="1537"/>
      <c r="E1441" s="1537"/>
      <c r="F1441" s="1537"/>
      <c r="G1441" s="1537"/>
      <c r="H1441" s="1537"/>
      <c r="I1441" s="1537"/>
      <c r="J1441" s="730"/>
      <c r="K1441" s="708"/>
      <c r="L1441" s="708"/>
      <c r="M1441" s="708"/>
      <c r="N1441" s="708"/>
      <c r="O1441" s="313"/>
    </row>
    <row r="1442" spans="2:15" ht="13.5" thickBot="1">
      <c r="C1442" s="756"/>
      <c r="D1442" s="757"/>
      <c r="E1442" s="755"/>
      <c r="F1442" s="755"/>
      <c r="G1442" s="755"/>
      <c r="H1442" s="755"/>
      <c r="I1442" s="755"/>
      <c r="J1442" s="758"/>
      <c r="K1442" s="755"/>
      <c r="L1442" s="755"/>
      <c r="M1442" s="755"/>
      <c r="N1442" s="755"/>
      <c r="O1442" s="347"/>
    </row>
    <row r="1443" spans="2:15" ht="13.5" thickBot="1">
      <c r="C1443" s="759" t="s">
        <v>89</v>
      </c>
      <c r="D1443" s="760"/>
      <c r="E1443" s="760"/>
      <c r="F1443" s="760"/>
      <c r="G1443" s="760"/>
      <c r="H1443" s="760"/>
      <c r="I1443" s="761"/>
      <c r="J1443" s="762"/>
      <c r="K1443" s="313"/>
      <c r="L1443" s="313"/>
      <c r="M1443" s="313"/>
      <c r="N1443" s="313"/>
      <c r="O1443" s="763"/>
    </row>
    <row r="1444" spans="2:15" ht="15">
      <c r="C1444" s="764" t="s">
        <v>67</v>
      </c>
      <c r="D1444" s="808">
        <f>8599733+9812342</f>
        <v>18412075</v>
      </c>
      <c r="E1444" s="725" t="s">
        <v>68</v>
      </c>
      <c r="G1444" s="765"/>
      <c r="H1444" s="765"/>
      <c r="I1444" s="766">
        <f>$L$26</f>
        <v>2023</v>
      </c>
      <c r="J1444" s="554"/>
      <c r="K1444" s="1536" t="s">
        <v>239</v>
      </c>
      <c r="L1444" s="1536"/>
      <c r="M1444" s="1536"/>
      <c r="N1444" s="1536"/>
      <c r="O1444" s="1536"/>
    </row>
    <row r="1445" spans="2:15">
      <c r="C1445" s="764" t="s">
        <v>70</v>
      </c>
      <c r="D1445" s="809">
        <v>2015</v>
      </c>
      <c r="E1445" s="764" t="s">
        <v>71</v>
      </c>
      <c r="F1445" s="765"/>
      <c r="H1445" s="172"/>
      <c r="I1445" s="810">
        <f>IF(G1438="",0,$F$17)</f>
        <v>0</v>
      </c>
      <c r="J1445" s="767"/>
      <c r="K1445" s="730" t="s">
        <v>239</v>
      </c>
    </row>
    <row r="1446" spans="2:15">
      <c r="C1446" s="764" t="s">
        <v>72</v>
      </c>
      <c r="D1446" s="808">
        <v>7</v>
      </c>
      <c r="E1446" s="764" t="s">
        <v>73</v>
      </c>
      <c r="F1446" s="765"/>
      <c r="H1446" s="172"/>
      <c r="I1446" s="768">
        <f>$G$70</f>
        <v>0.14450383244078713</v>
      </c>
      <c r="J1446" s="769"/>
      <c r="K1446" s="172" t="str">
        <f>"          INPUT PROJECTED ARR (WITH &amp; WITHOUT INCENTIVES) FROM EACH PRIOR YEAR"</f>
        <v xml:space="preserve">          INPUT PROJECTED ARR (WITH &amp; WITHOUT INCENTIVES) FROM EACH PRIOR YEAR</v>
      </c>
    </row>
    <row r="1447" spans="2:15">
      <c r="C1447" s="764" t="s">
        <v>74</v>
      </c>
      <c r="D1447" s="770">
        <f>$G$79</f>
        <v>35</v>
      </c>
      <c r="E1447" s="764" t="s">
        <v>75</v>
      </c>
      <c r="F1447" s="765"/>
      <c r="H1447" s="172"/>
      <c r="I1447" s="768">
        <f>IF(G1438="",I1446,$G$69)</f>
        <v>0.14450383244078713</v>
      </c>
      <c r="J1447" s="771"/>
      <c r="K1447" s="172" t="s">
        <v>152</v>
      </c>
    </row>
    <row r="1448" spans="2:15" ht="13.5" thickBot="1">
      <c r="C1448" s="764" t="s">
        <v>76</v>
      </c>
      <c r="D1448" s="807" t="s">
        <v>808</v>
      </c>
      <c r="E1448" s="772" t="s">
        <v>77</v>
      </c>
      <c r="F1448" s="773"/>
      <c r="G1448" s="774"/>
      <c r="H1448" s="774"/>
      <c r="I1448" s="752">
        <f>IF(D1444=0,0,D1444/D1447)</f>
        <v>526059.28571428568</v>
      </c>
      <c r="J1448" s="730"/>
      <c r="K1448" s="730" t="s">
        <v>158</v>
      </c>
      <c r="L1448" s="730"/>
      <c r="M1448" s="730"/>
      <c r="N1448" s="730"/>
      <c r="O1448" s="426"/>
    </row>
    <row r="1449" spans="2:15" ht="38.25">
      <c r="B1449" s="845"/>
      <c r="C1449" s="775" t="s">
        <v>67</v>
      </c>
      <c r="D1449" s="776" t="s">
        <v>78</v>
      </c>
      <c r="E1449" s="777" t="s">
        <v>79</v>
      </c>
      <c r="F1449" s="776" t="s">
        <v>80</v>
      </c>
      <c r="G1449" s="777" t="s">
        <v>151</v>
      </c>
      <c r="H1449" s="778" t="s">
        <v>151</v>
      </c>
      <c r="I1449" s="775" t="s">
        <v>90</v>
      </c>
      <c r="J1449" s="779"/>
      <c r="K1449" s="777" t="s">
        <v>160</v>
      </c>
      <c r="L1449" s="780"/>
      <c r="M1449" s="777" t="s">
        <v>160</v>
      </c>
      <c r="N1449" s="780"/>
      <c r="O1449" s="780"/>
    </row>
    <row r="1450" spans="2:15" ht="13.5" thickBot="1">
      <c r="C1450" s="781" t="s">
        <v>469</v>
      </c>
      <c r="D1450" s="782" t="s">
        <v>470</v>
      </c>
      <c r="E1450" s="781" t="s">
        <v>363</v>
      </c>
      <c r="F1450" s="782" t="s">
        <v>470</v>
      </c>
      <c r="G1450" s="783" t="s">
        <v>93</v>
      </c>
      <c r="H1450" s="784" t="s">
        <v>95</v>
      </c>
      <c r="I1450" s="785" t="s">
        <v>15</v>
      </c>
      <c r="J1450" s="786"/>
      <c r="K1450" s="783" t="s">
        <v>82</v>
      </c>
      <c r="L1450" s="787"/>
      <c r="M1450" s="783" t="s">
        <v>95</v>
      </c>
      <c r="N1450" s="787"/>
      <c r="O1450" s="787"/>
    </row>
    <row r="1451" spans="2:15">
      <c r="C1451" s="788">
        <f>IF(D1445= "","-",D1445)</f>
        <v>2015</v>
      </c>
      <c r="D1451" s="736">
        <f>+D1444</f>
        <v>18412075</v>
      </c>
      <c r="E1451" s="789">
        <f>+I1448/12*(12-D1446)</f>
        <v>219191.36904761905</v>
      </c>
      <c r="F1451" s="736">
        <f>+D1451-E1451</f>
        <v>18192883.630952381</v>
      </c>
      <c r="G1451" s="985">
        <f>+$I$96*((D1451+F1451)/2)+E1451</f>
        <v>2863969.7733021625</v>
      </c>
      <c r="H1451" s="986">
        <f>$I$97*((D1451+F1451)/2)+E1451</f>
        <v>2863969.7733021625</v>
      </c>
      <c r="I1451" s="792">
        <f>+H1451-G1451</f>
        <v>0</v>
      </c>
      <c r="J1451" s="792"/>
      <c r="K1451" s="811">
        <v>1528116</v>
      </c>
      <c r="L1451" s="793"/>
      <c r="M1451" s="811">
        <v>1528116</v>
      </c>
      <c r="N1451" s="793"/>
      <c r="O1451" s="793"/>
    </row>
    <row r="1452" spans="2:15">
      <c r="C1452" s="788">
        <f>IF(D1445="","-",+C1451+1)</f>
        <v>2016</v>
      </c>
      <c r="D1452" s="736">
        <f t="shared" ref="D1452:D1510" si="90">F1451</f>
        <v>18192883.630952381</v>
      </c>
      <c r="E1452" s="789">
        <f>IF(D1452&gt;$I$1448,$I$1448,D1452)</f>
        <v>526059.28571428568</v>
      </c>
      <c r="F1452" s="736">
        <f t="shared" ref="F1452:F1510" si="91">+D1452-E1452</f>
        <v>17666824.345238093</v>
      </c>
      <c r="G1452" s="794">
        <f t="shared" ref="G1452:G1510" si="92">+$I$96*((D1452+F1452)/2)+E1452</f>
        <v>3116991.9020977793</v>
      </c>
      <c r="H1452" s="795">
        <f t="shared" ref="H1452:H1510" si="93">$I$97*((D1452+F1452)/2)+E1452</f>
        <v>3116991.9020977793</v>
      </c>
      <c r="I1452" s="792">
        <f t="shared" ref="I1452:I1510" si="94">+H1452-G1452</f>
        <v>0</v>
      </c>
      <c r="J1452" s="792"/>
      <c r="K1452" s="812">
        <v>887506</v>
      </c>
      <c r="L1452" s="796"/>
      <c r="M1452" s="812">
        <v>887506</v>
      </c>
      <c r="N1452" s="796"/>
      <c r="O1452" s="796"/>
    </row>
    <row r="1453" spans="2:15">
      <c r="C1453" s="788">
        <f>IF(D1445="","-",+C1452+1)</f>
        <v>2017</v>
      </c>
      <c r="D1453" s="736">
        <f t="shared" si="90"/>
        <v>17666824.345238093</v>
      </c>
      <c r="E1453" s="789">
        <f t="shared" ref="E1453:E1510" si="95">IF(D1453&gt;$I$1448,$I$1448,D1453)</f>
        <v>526059.28571428568</v>
      </c>
      <c r="F1453" s="736">
        <f t="shared" si="91"/>
        <v>17140765.059523806</v>
      </c>
      <c r="G1453" s="794">
        <f t="shared" si="92"/>
        <v>3040974.3192210011</v>
      </c>
      <c r="H1453" s="795">
        <f t="shared" si="93"/>
        <v>3040974.3192210011</v>
      </c>
      <c r="I1453" s="792">
        <f t="shared" si="94"/>
        <v>0</v>
      </c>
      <c r="J1453" s="792"/>
      <c r="K1453" s="812">
        <v>1060430</v>
      </c>
      <c r="L1453" s="796"/>
      <c r="M1453" s="812">
        <v>1060430</v>
      </c>
      <c r="N1453" s="796"/>
      <c r="O1453" s="796"/>
    </row>
    <row r="1454" spans="2:15">
      <c r="C1454" s="1312">
        <f>IF(D1445="","-",+C1453+1)</f>
        <v>2018</v>
      </c>
      <c r="D1454" s="736">
        <f t="shared" si="90"/>
        <v>17140765.059523806</v>
      </c>
      <c r="E1454" s="789">
        <f t="shared" si="95"/>
        <v>526059.28571428568</v>
      </c>
      <c r="F1454" s="736">
        <f t="shared" si="91"/>
        <v>16614705.773809521</v>
      </c>
      <c r="G1454" s="794">
        <f t="shared" si="92"/>
        <v>2964956.7363442238</v>
      </c>
      <c r="H1454" s="795">
        <f t="shared" si="93"/>
        <v>2964956.7363442238</v>
      </c>
      <c r="I1454" s="792">
        <f t="shared" si="94"/>
        <v>0</v>
      </c>
      <c r="J1454" s="792"/>
      <c r="K1454" s="812">
        <v>930781</v>
      </c>
      <c r="L1454" s="796"/>
      <c r="M1454" s="812">
        <v>930781</v>
      </c>
      <c r="N1454" s="796"/>
      <c r="O1454" s="796"/>
    </row>
    <row r="1455" spans="2:15">
      <c r="C1455" s="1290">
        <f>IF(D1445="","-",+C1454+1)</f>
        <v>2019</v>
      </c>
      <c r="D1455" s="736">
        <f t="shared" si="90"/>
        <v>16614705.773809521</v>
      </c>
      <c r="E1455" s="789">
        <f t="shared" si="95"/>
        <v>526059.28571428568</v>
      </c>
      <c r="F1455" s="736">
        <f t="shared" si="91"/>
        <v>16088646.488095235</v>
      </c>
      <c r="G1455" s="794">
        <f t="shared" si="92"/>
        <v>2888939.1534674466</v>
      </c>
      <c r="H1455" s="795">
        <f t="shared" si="93"/>
        <v>2888939.1534674466</v>
      </c>
      <c r="I1455" s="792">
        <f t="shared" si="94"/>
        <v>0</v>
      </c>
      <c r="J1455" s="792"/>
      <c r="K1455" s="812"/>
      <c r="L1455" s="796"/>
      <c r="M1455" s="812"/>
      <c r="N1455" s="796"/>
      <c r="O1455" s="796"/>
    </row>
    <row r="1456" spans="2:15">
      <c r="C1456" s="788">
        <f>IF(D1445="","-",+C1455+1)</f>
        <v>2020</v>
      </c>
      <c r="D1456" s="736">
        <f t="shared" si="90"/>
        <v>16088646.488095235</v>
      </c>
      <c r="E1456" s="789">
        <f t="shared" si="95"/>
        <v>526059.28571428568</v>
      </c>
      <c r="F1456" s="736">
        <f t="shared" si="91"/>
        <v>15562587.20238095</v>
      </c>
      <c r="G1456" s="794">
        <f t="shared" si="92"/>
        <v>2812921.5705906693</v>
      </c>
      <c r="H1456" s="795">
        <f t="shared" si="93"/>
        <v>2812921.5705906693</v>
      </c>
      <c r="I1456" s="792">
        <f t="shared" si="94"/>
        <v>0</v>
      </c>
      <c r="J1456" s="792"/>
      <c r="K1456" s="812"/>
      <c r="L1456" s="796"/>
      <c r="M1456" s="812"/>
      <c r="N1456" s="796"/>
      <c r="O1456" s="796"/>
    </row>
    <row r="1457" spans="3:15">
      <c r="C1457" s="788">
        <f>IF(D1445="","-",+C1456+1)</f>
        <v>2021</v>
      </c>
      <c r="D1457" s="736">
        <f t="shared" si="90"/>
        <v>15562587.20238095</v>
      </c>
      <c r="E1457" s="789">
        <f t="shared" si="95"/>
        <v>526059.28571428568</v>
      </c>
      <c r="F1457" s="736">
        <f t="shared" si="91"/>
        <v>15036527.916666664</v>
      </c>
      <c r="G1457" s="794">
        <f t="shared" si="92"/>
        <v>2736903.987713892</v>
      </c>
      <c r="H1457" s="795">
        <f t="shared" si="93"/>
        <v>2736903.987713892</v>
      </c>
      <c r="I1457" s="792">
        <f t="shared" si="94"/>
        <v>0</v>
      </c>
      <c r="J1457" s="792"/>
      <c r="K1457" s="812"/>
      <c r="L1457" s="796"/>
      <c r="M1457" s="812"/>
      <c r="N1457" s="796"/>
      <c r="O1457" s="796"/>
    </row>
    <row r="1458" spans="3:15">
      <c r="C1458" s="788">
        <f>IF(D1445="","-",+C1457+1)</f>
        <v>2022</v>
      </c>
      <c r="D1458" s="736">
        <f t="shared" si="90"/>
        <v>15036527.916666664</v>
      </c>
      <c r="E1458" s="789">
        <f t="shared" si="95"/>
        <v>526059.28571428568</v>
      </c>
      <c r="F1458" s="736">
        <f t="shared" si="91"/>
        <v>14510468.630952379</v>
      </c>
      <c r="G1458" s="794">
        <f t="shared" si="92"/>
        <v>2660886.4048371147</v>
      </c>
      <c r="H1458" s="795">
        <f t="shared" si="93"/>
        <v>2660886.4048371147</v>
      </c>
      <c r="I1458" s="792">
        <f t="shared" si="94"/>
        <v>0</v>
      </c>
      <c r="J1458" s="792"/>
      <c r="K1458" s="812"/>
      <c r="L1458" s="796"/>
      <c r="M1458" s="812"/>
      <c r="N1458" s="796"/>
      <c r="O1458" s="796"/>
    </row>
    <row r="1459" spans="3:15">
      <c r="C1459" s="788">
        <f>IF(D1445="","-",+C1458+1)</f>
        <v>2023</v>
      </c>
      <c r="D1459" s="736">
        <f t="shared" si="90"/>
        <v>14510468.630952379</v>
      </c>
      <c r="E1459" s="789">
        <f t="shared" si="95"/>
        <v>526059.28571428568</v>
      </c>
      <c r="F1459" s="736">
        <f t="shared" si="91"/>
        <v>13984409.345238093</v>
      </c>
      <c r="G1459" s="794">
        <f t="shared" si="92"/>
        <v>2584868.8219603375</v>
      </c>
      <c r="H1459" s="795">
        <f t="shared" si="93"/>
        <v>2584868.8219603375</v>
      </c>
      <c r="I1459" s="792">
        <f t="shared" si="94"/>
        <v>0</v>
      </c>
      <c r="J1459" s="792"/>
      <c r="K1459" s="812"/>
      <c r="L1459" s="796"/>
      <c r="M1459" s="812"/>
      <c r="N1459" s="796"/>
      <c r="O1459" s="796"/>
    </row>
    <row r="1460" spans="3:15">
      <c r="C1460" s="788">
        <f>IF(D1445="","-",+C1459+1)</f>
        <v>2024</v>
      </c>
      <c r="D1460" s="736">
        <f t="shared" si="90"/>
        <v>13984409.345238093</v>
      </c>
      <c r="E1460" s="789">
        <f t="shared" si="95"/>
        <v>526059.28571428568</v>
      </c>
      <c r="F1460" s="736">
        <f t="shared" si="91"/>
        <v>13458350.059523808</v>
      </c>
      <c r="G1460" s="794">
        <f t="shared" si="92"/>
        <v>2508851.2390835602</v>
      </c>
      <c r="H1460" s="795">
        <f t="shared" si="93"/>
        <v>2508851.2390835602</v>
      </c>
      <c r="I1460" s="792">
        <f t="shared" si="94"/>
        <v>0</v>
      </c>
      <c r="J1460" s="792"/>
      <c r="K1460" s="812"/>
      <c r="L1460" s="796"/>
      <c r="M1460" s="812"/>
      <c r="N1460" s="796"/>
      <c r="O1460" s="796"/>
    </row>
    <row r="1461" spans="3:15">
      <c r="C1461" s="788">
        <f>IF(D1445="","-",+C1460+1)</f>
        <v>2025</v>
      </c>
      <c r="D1461" s="736">
        <f t="shared" si="90"/>
        <v>13458350.059523808</v>
      </c>
      <c r="E1461" s="789">
        <f t="shared" si="95"/>
        <v>526059.28571428568</v>
      </c>
      <c r="F1461" s="736">
        <f t="shared" si="91"/>
        <v>12932290.773809522</v>
      </c>
      <c r="G1461" s="794">
        <f t="shared" si="92"/>
        <v>2432833.6562067829</v>
      </c>
      <c r="H1461" s="795">
        <f t="shared" si="93"/>
        <v>2432833.6562067829</v>
      </c>
      <c r="I1461" s="792">
        <f t="shared" si="94"/>
        <v>0</v>
      </c>
      <c r="J1461" s="792"/>
      <c r="K1461" s="812"/>
      <c r="L1461" s="796"/>
      <c r="M1461" s="812"/>
      <c r="N1461" s="796"/>
      <c r="O1461" s="796"/>
    </row>
    <row r="1462" spans="3:15">
      <c r="C1462" s="788">
        <f>IF(D1445="","-",+C1461+1)</f>
        <v>2026</v>
      </c>
      <c r="D1462" s="736">
        <f t="shared" si="90"/>
        <v>12932290.773809522</v>
      </c>
      <c r="E1462" s="789">
        <f t="shared" si="95"/>
        <v>526059.28571428568</v>
      </c>
      <c r="F1462" s="736">
        <f t="shared" si="91"/>
        <v>12406231.488095237</v>
      </c>
      <c r="G1462" s="794">
        <f t="shared" si="92"/>
        <v>2356816.0733300056</v>
      </c>
      <c r="H1462" s="795">
        <f t="shared" si="93"/>
        <v>2356816.0733300056</v>
      </c>
      <c r="I1462" s="792">
        <f t="shared" si="94"/>
        <v>0</v>
      </c>
      <c r="J1462" s="792"/>
      <c r="K1462" s="812"/>
      <c r="L1462" s="796"/>
      <c r="M1462" s="812"/>
      <c r="N1462" s="796"/>
      <c r="O1462" s="796"/>
    </row>
    <row r="1463" spans="3:15">
      <c r="C1463" s="788">
        <f>IF(D1445="","-",+C1462+1)</f>
        <v>2027</v>
      </c>
      <c r="D1463" s="736">
        <f t="shared" si="90"/>
        <v>12406231.488095237</v>
      </c>
      <c r="E1463" s="789">
        <f t="shared" si="95"/>
        <v>526059.28571428568</v>
      </c>
      <c r="F1463" s="736">
        <f t="shared" si="91"/>
        <v>11880172.202380951</v>
      </c>
      <c r="G1463" s="794">
        <f t="shared" si="92"/>
        <v>2280798.4904532284</v>
      </c>
      <c r="H1463" s="795">
        <f t="shared" si="93"/>
        <v>2280798.4904532284</v>
      </c>
      <c r="I1463" s="792">
        <f t="shared" si="94"/>
        <v>0</v>
      </c>
      <c r="J1463" s="792"/>
      <c r="K1463" s="812"/>
      <c r="L1463" s="796"/>
      <c r="M1463" s="812"/>
      <c r="N1463" s="797"/>
      <c r="O1463" s="796"/>
    </row>
    <row r="1464" spans="3:15">
      <c r="C1464" s="788">
        <f>IF(D1445="","-",+C1463+1)</f>
        <v>2028</v>
      </c>
      <c r="D1464" s="736">
        <f t="shared" si="90"/>
        <v>11880172.202380951</v>
      </c>
      <c r="E1464" s="789">
        <f t="shared" si="95"/>
        <v>526059.28571428568</v>
      </c>
      <c r="F1464" s="736">
        <f t="shared" si="91"/>
        <v>11354112.916666666</v>
      </c>
      <c r="G1464" s="794">
        <f t="shared" si="92"/>
        <v>2204780.9075764511</v>
      </c>
      <c r="H1464" s="795">
        <f t="shared" si="93"/>
        <v>2204780.9075764511</v>
      </c>
      <c r="I1464" s="792">
        <f t="shared" si="94"/>
        <v>0</v>
      </c>
      <c r="J1464" s="792"/>
      <c r="K1464" s="812"/>
      <c r="L1464" s="796"/>
      <c r="M1464" s="812"/>
      <c r="N1464" s="796"/>
      <c r="O1464" s="796"/>
    </row>
    <row r="1465" spans="3:15">
      <c r="C1465" s="788">
        <f>IF(D1445="","-",+C1464+1)</f>
        <v>2029</v>
      </c>
      <c r="D1465" s="736">
        <f t="shared" si="90"/>
        <v>11354112.916666666</v>
      </c>
      <c r="E1465" s="789">
        <f t="shared" si="95"/>
        <v>526059.28571428568</v>
      </c>
      <c r="F1465" s="736">
        <f t="shared" si="91"/>
        <v>10828053.630952381</v>
      </c>
      <c r="G1465" s="794">
        <f t="shared" si="92"/>
        <v>2128763.3246996738</v>
      </c>
      <c r="H1465" s="795">
        <f t="shared" si="93"/>
        <v>2128763.3246996738</v>
      </c>
      <c r="I1465" s="792">
        <f t="shared" si="94"/>
        <v>0</v>
      </c>
      <c r="J1465" s="792"/>
      <c r="K1465" s="812"/>
      <c r="L1465" s="796"/>
      <c r="M1465" s="812"/>
      <c r="N1465" s="796"/>
      <c r="O1465" s="796"/>
    </row>
    <row r="1466" spans="3:15">
      <c r="C1466" s="788">
        <f>IF(D1445="","-",+C1465+1)</f>
        <v>2030</v>
      </c>
      <c r="D1466" s="736">
        <f t="shared" si="90"/>
        <v>10828053.630952381</v>
      </c>
      <c r="E1466" s="789">
        <f t="shared" si="95"/>
        <v>526059.28571428568</v>
      </c>
      <c r="F1466" s="736">
        <f t="shared" si="91"/>
        <v>10301994.345238095</v>
      </c>
      <c r="G1466" s="794">
        <f t="shared" si="92"/>
        <v>2052745.7418228968</v>
      </c>
      <c r="H1466" s="795">
        <f t="shared" si="93"/>
        <v>2052745.7418228968</v>
      </c>
      <c r="I1466" s="792">
        <f t="shared" si="94"/>
        <v>0</v>
      </c>
      <c r="J1466" s="792"/>
      <c r="K1466" s="812"/>
      <c r="L1466" s="796"/>
      <c r="M1466" s="812"/>
      <c r="N1466" s="796"/>
      <c r="O1466" s="796"/>
    </row>
    <row r="1467" spans="3:15">
      <c r="C1467" s="788">
        <f>IF(D1445="","-",+C1466+1)</f>
        <v>2031</v>
      </c>
      <c r="D1467" s="736">
        <f t="shared" si="90"/>
        <v>10301994.345238095</v>
      </c>
      <c r="E1467" s="789">
        <f t="shared" si="95"/>
        <v>526059.28571428568</v>
      </c>
      <c r="F1467" s="736">
        <f t="shared" si="91"/>
        <v>9775935.0595238097</v>
      </c>
      <c r="G1467" s="794">
        <f t="shared" si="92"/>
        <v>1976728.158946119</v>
      </c>
      <c r="H1467" s="795">
        <f t="shared" si="93"/>
        <v>1976728.158946119</v>
      </c>
      <c r="I1467" s="792">
        <f t="shared" si="94"/>
        <v>0</v>
      </c>
      <c r="J1467" s="792"/>
      <c r="K1467" s="812"/>
      <c r="L1467" s="796"/>
      <c r="M1467" s="812"/>
      <c r="N1467" s="796"/>
      <c r="O1467" s="796"/>
    </row>
    <row r="1468" spans="3:15">
      <c r="C1468" s="788">
        <f>IF(D1445="","-",+C1467+1)</f>
        <v>2032</v>
      </c>
      <c r="D1468" s="736">
        <f t="shared" si="90"/>
        <v>9775935.0595238097</v>
      </c>
      <c r="E1468" s="789">
        <f t="shared" si="95"/>
        <v>526059.28571428568</v>
      </c>
      <c r="F1468" s="736">
        <f t="shared" si="91"/>
        <v>9249875.7738095243</v>
      </c>
      <c r="G1468" s="794">
        <f t="shared" si="92"/>
        <v>1900710.5760693422</v>
      </c>
      <c r="H1468" s="795">
        <f t="shared" si="93"/>
        <v>1900710.5760693422</v>
      </c>
      <c r="I1468" s="792">
        <f t="shared" si="94"/>
        <v>0</v>
      </c>
      <c r="J1468" s="792"/>
      <c r="K1468" s="812"/>
      <c r="L1468" s="796"/>
      <c r="M1468" s="812"/>
      <c r="N1468" s="796"/>
      <c r="O1468" s="796"/>
    </row>
    <row r="1469" spans="3:15">
      <c r="C1469" s="788">
        <f>IF(D1445="","-",+C1468+1)</f>
        <v>2033</v>
      </c>
      <c r="D1469" s="736">
        <f t="shared" si="90"/>
        <v>9249875.7738095243</v>
      </c>
      <c r="E1469" s="789">
        <f t="shared" si="95"/>
        <v>526059.28571428568</v>
      </c>
      <c r="F1469" s="736">
        <f t="shared" si="91"/>
        <v>8723816.4880952388</v>
      </c>
      <c r="G1469" s="794">
        <f t="shared" si="92"/>
        <v>1824692.9931925647</v>
      </c>
      <c r="H1469" s="795">
        <f t="shared" si="93"/>
        <v>1824692.9931925647</v>
      </c>
      <c r="I1469" s="792">
        <f t="shared" si="94"/>
        <v>0</v>
      </c>
      <c r="J1469" s="792"/>
      <c r="K1469" s="812"/>
      <c r="L1469" s="796"/>
      <c r="M1469" s="812"/>
      <c r="N1469" s="796"/>
      <c r="O1469" s="796"/>
    </row>
    <row r="1470" spans="3:15">
      <c r="C1470" s="788">
        <f>IF(D1445="","-",+C1469+1)</f>
        <v>2034</v>
      </c>
      <c r="D1470" s="736">
        <f t="shared" si="90"/>
        <v>8723816.4880952388</v>
      </c>
      <c r="E1470" s="789">
        <f t="shared" si="95"/>
        <v>526059.28571428568</v>
      </c>
      <c r="F1470" s="736">
        <f t="shared" si="91"/>
        <v>8197757.2023809534</v>
      </c>
      <c r="G1470" s="794">
        <f t="shared" si="92"/>
        <v>1748675.4103157877</v>
      </c>
      <c r="H1470" s="795">
        <f t="shared" si="93"/>
        <v>1748675.4103157877</v>
      </c>
      <c r="I1470" s="792">
        <f t="shared" si="94"/>
        <v>0</v>
      </c>
      <c r="J1470" s="792"/>
      <c r="K1470" s="812"/>
      <c r="L1470" s="796"/>
      <c r="M1470" s="812"/>
      <c r="N1470" s="796"/>
      <c r="O1470" s="796"/>
    </row>
    <row r="1471" spans="3:15">
      <c r="C1471" s="788">
        <f>IF(D1445="","-",+C1470+1)</f>
        <v>2035</v>
      </c>
      <c r="D1471" s="736">
        <f t="shared" si="90"/>
        <v>8197757.2023809534</v>
      </c>
      <c r="E1471" s="789">
        <f t="shared" si="95"/>
        <v>526059.28571428568</v>
      </c>
      <c r="F1471" s="736">
        <f t="shared" si="91"/>
        <v>7671697.9166666679</v>
      </c>
      <c r="G1471" s="794">
        <f t="shared" si="92"/>
        <v>1672657.8274390101</v>
      </c>
      <c r="H1471" s="795">
        <f t="shared" si="93"/>
        <v>1672657.8274390101</v>
      </c>
      <c r="I1471" s="792">
        <f t="shared" si="94"/>
        <v>0</v>
      </c>
      <c r="J1471" s="792"/>
      <c r="K1471" s="812"/>
      <c r="L1471" s="796"/>
      <c r="M1471" s="812"/>
      <c r="N1471" s="796"/>
      <c r="O1471" s="796"/>
    </row>
    <row r="1472" spans="3:15">
      <c r="C1472" s="788">
        <f>IF(D1445="","-",+C1471+1)</f>
        <v>2036</v>
      </c>
      <c r="D1472" s="736">
        <f t="shared" si="90"/>
        <v>7671697.9166666679</v>
      </c>
      <c r="E1472" s="789">
        <f t="shared" si="95"/>
        <v>526059.28571428568</v>
      </c>
      <c r="F1472" s="736">
        <f t="shared" si="91"/>
        <v>7145638.6309523825</v>
      </c>
      <c r="G1472" s="794">
        <f t="shared" si="92"/>
        <v>1596640.2445622329</v>
      </c>
      <c r="H1472" s="795">
        <f t="shared" si="93"/>
        <v>1596640.2445622329</v>
      </c>
      <c r="I1472" s="792">
        <f t="shared" si="94"/>
        <v>0</v>
      </c>
      <c r="J1472" s="792"/>
      <c r="K1472" s="812"/>
      <c r="L1472" s="796"/>
      <c r="M1472" s="812"/>
      <c r="N1472" s="796"/>
      <c r="O1472" s="796"/>
    </row>
    <row r="1473" spans="3:15">
      <c r="C1473" s="788">
        <f>IF(D1445="","-",+C1472+1)</f>
        <v>2037</v>
      </c>
      <c r="D1473" s="736">
        <f t="shared" si="90"/>
        <v>7145638.6309523825</v>
      </c>
      <c r="E1473" s="789">
        <f t="shared" si="95"/>
        <v>526059.28571428568</v>
      </c>
      <c r="F1473" s="736">
        <f t="shared" si="91"/>
        <v>6619579.345238097</v>
      </c>
      <c r="G1473" s="794">
        <f t="shared" si="92"/>
        <v>1520622.6616854556</v>
      </c>
      <c r="H1473" s="795">
        <f t="shared" si="93"/>
        <v>1520622.6616854556</v>
      </c>
      <c r="I1473" s="792">
        <f t="shared" si="94"/>
        <v>0</v>
      </c>
      <c r="J1473" s="792"/>
      <c r="K1473" s="812"/>
      <c r="L1473" s="796"/>
      <c r="M1473" s="812"/>
      <c r="N1473" s="796"/>
      <c r="O1473" s="796"/>
    </row>
    <row r="1474" spans="3:15">
      <c r="C1474" s="788">
        <f>IF(D1445="","-",+C1473+1)</f>
        <v>2038</v>
      </c>
      <c r="D1474" s="736">
        <f t="shared" si="90"/>
        <v>6619579.345238097</v>
      </c>
      <c r="E1474" s="789">
        <f t="shared" si="95"/>
        <v>526059.28571428568</v>
      </c>
      <c r="F1474" s="736">
        <f t="shared" si="91"/>
        <v>6093520.0595238116</v>
      </c>
      <c r="G1474" s="794">
        <f t="shared" si="92"/>
        <v>1444605.0788086783</v>
      </c>
      <c r="H1474" s="795">
        <f t="shared" si="93"/>
        <v>1444605.0788086783</v>
      </c>
      <c r="I1474" s="792">
        <f t="shared" si="94"/>
        <v>0</v>
      </c>
      <c r="J1474" s="792"/>
      <c r="K1474" s="812"/>
      <c r="L1474" s="796"/>
      <c r="M1474" s="812"/>
      <c r="N1474" s="796"/>
      <c r="O1474" s="796"/>
    </row>
    <row r="1475" spans="3:15">
      <c r="C1475" s="788">
        <f>IF(D1445="","-",+C1474+1)</f>
        <v>2039</v>
      </c>
      <c r="D1475" s="736">
        <f t="shared" si="90"/>
        <v>6093520.0595238116</v>
      </c>
      <c r="E1475" s="789">
        <f t="shared" si="95"/>
        <v>526059.28571428568</v>
      </c>
      <c r="F1475" s="736">
        <f t="shared" si="91"/>
        <v>5567460.7738095261</v>
      </c>
      <c r="G1475" s="794">
        <f t="shared" si="92"/>
        <v>1368587.495931901</v>
      </c>
      <c r="H1475" s="795">
        <f t="shared" si="93"/>
        <v>1368587.495931901</v>
      </c>
      <c r="I1475" s="792">
        <f t="shared" si="94"/>
        <v>0</v>
      </c>
      <c r="J1475" s="792"/>
      <c r="K1475" s="812"/>
      <c r="L1475" s="796"/>
      <c r="M1475" s="812"/>
      <c r="N1475" s="796"/>
      <c r="O1475" s="796"/>
    </row>
    <row r="1476" spans="3:15">
      <c r="C1476" s="788">
        <f>IF(D1445="","-",+C1475+1)</f>
        <v>2040</v>
      </c>
      <c r="D1476" s="736">
        <f t="shared" si="90"/>
        <v>5567460.7738095261</v>
      </c>
      <c r="E1476" s="789">
        <f t="shared" si="95"/>
        <v>526059.28571428568</v>
      </c>
      <c r="F1476" s="736">
        <f t="shared" si="91"/>
        <v>5041401.4880952407</v>
      </c>
      <c r="G1476" s="794">
        <f t="shared" si="92"/>
        <v>1292569.9130551238</v>
      </c>
      <c r="H1476" s="795">
        <f t="shared" si="93"/>
        <v>1292569.9130551238</v>
      </c>
      <c r="I1476" s="792">
        <f t="shared" si="94"/>
        <v>0</v>
      </c>
      <c r="J1476" s="792"/>
      <c r="K1476" s="812"/>
      <c r="L1476" s="796"/>
      <c r="M1476" s="812"/>
      <c r="N1476" s="796"/>
      <c r="O1476" s="796"/>
    </row>
    <row r="1477" spans="3:15">
      <c r="C1477" s="788">
        <f>IF(D1445="","-",+C1476+1)</f>
        <v>2041</v>
      </c>
      <c r="D1477" s="736">
        <f t="shared" si="90"/>
        <v>5041401.4880952407</v>
      </c>
      <c r="E1477" s="789">
        <f t="shared" si="95"/>
        <v>526059.28571428568</v>
      </c>
      <c r="F1477" s="736">
        <f t="shared" si="91"/>
        <v>4515342.2023809552</v>
      </c>
      <c r="G1477" s="794">
        <f t="shared" si="92"/>
        <v>1216552.3301783465</v>
      </c>
      <c r="H1477" s="795">
        <f t="shared" si="93"/>
        <v>1216552.3301783465</v>
      </c>
      <c r="I1477" s="792">
        <f t="shared" si="94"/>
        <v>0</v>
      </c>
      <c r="J1477" s="792"/>
      <c r="K1477" s="812"/>
      <c r="L1477" s="796"/>
      <c r="M1477" s="812"/>
      <c r="N1477" s="796"/>
      <c r="O1477" s="796"/>
    </row>
    <row r="1478" spans="3:15">
      <c r="C1478" s="788">
        <f>IF(D1445="","-",+C1477+1)</f>
        <v>2042</v>
      </c>
      <c r="D1478" s="736">
        <f t="shared" si="90"/>
        <v>4515342.2023809552</v>
      </c>
      <c r="E1478" s="789">
        <f t="shared" si="95"/>
        <v>526059.28571428568</v>
      </c>
      <c r="F1478" s="736">
        <f t="shared" si="91"/>
        <v>3989282.9166666698</v>
      </c>
      <c r="G1478" s="794">
        <f t="shared" si="92"/>
        <v>1140534.7473015692</v>
      </c>
      <c r="H1478" s="795">
        <f t="shared" si="93"/>
        <v>1140534.7473015692</v>
      </c>
      <c r="I1478" s="792">
        <f t="shared" si="94"/>
        <v>0</v>
      </c>
      <c r="J1478" s="792"/>
      <c r="K1478" s="812"/>
      <c r="L1478" s="796"/>
      <c r="M1478" s="812"/>
      <c r="N1478" s="796"/>
      <c r="O1478" s="796"/>
    </row>
    <row r="1479" spans="3:15">
      <c r="C1479" s="788">
        <f>IF(D1445="","-",+C1478+1)</f>
        <v>2043</v>
      </c>
      <c r="D1479" s="736">
        <f t="shared" si="90"/>
        <v>3989282.9166666698</v>
      </c>
      <c r="E1479" s="789">
        <f t="shared" si="95"/>
        <v>526059.28571428568</v>
      </c>
      <c r="F1479" s="736">
        <f t="shared" si="91"/>
        <v>3463223.6309523843</v>
      </c>
      <c r="G1479" s="790">
        <f t="shared" si="92"/>
        <v>1064517.1644247919</v>
      </c>
      <c r="H1479" s="795">
        <f t="shared" si="93"/>
        <v>1064517.1644247919</v>
      </c>
      <c r="I1479" s="792">
        <f t="shared" si="94"/>
        <v>0</v>
      </c>
      <c r="J1479" s="792"/>
      <c r="K1479" s="812"/>
      <c r="L1479" s="796"/>
      <c r="M1479" s="812"/>
      <c r="N1479" s="796"/>
      <c r="O1479" s="796"/>
    </row>
    <row r="1480" spans="3:15">
      <c r="C1480" s="788">
        <f>IF(D1445="","-",+C1479+1)</f>
        <v>2044</v>
      </c>
      <c r="D1480" s="736">
        <f t="shared" si="90"/>
        <v>3463223.6309523843</v>
      </c>
      <c r="E1480" s="789">
        <f t="shared" si="95"/>
        <v>526059.28571428568</v>
      </c>
      <c r="F1480" s="736">
        <f t="shared" si="91"/>
        <v>2937164.3452380989</v>
      </c>
      <c r="G1480" s="794">
        <f t="shared" si="92"/>
        <v>988499.58154801477</v>
      </c>
      <c r="H1480" s="795">
        <f t="shared" si="93"/>
        <v>988499.58154801477</v>
      </c>
      <c r="I1480" s="792">
        <f t="shared" si="94"/>
        <v>0</v>
      </c>
      <c r="J1480" s="792"/>
      <c r="K1480" s="812"/>
      <c r="L1480" s="796"/>
      <c r="M1480" s="812"/>
      <c r="N1480" s="796"/>
      <c r="O1480" s="796"/>
    </row>
    <row r="1481" spans="3:15">
      <c r="C1481" s="788">
        <f>IF(D1445="","-",+C1480+1)</f>
        <v>2045</v>
      </c>
      <c r="D1481" s="736">
        <f t="shared" si="90"/>
        <v>2937164.3452380989</v>
      </c>
      <c r="E1481" s="789">
        <f t="shared" si="95"/>
        <v>526059.28571428568</v>
      </c>
      <c r="F1481" s="736">
        <f t="shared" si="91"/>
        <v>2411105.0595238134</v>
      </c>
      <c r="G1481" s="794">
        <f t="shared" si="92"/>
        <v>912481.9986712375</v>
      </c>
      <c r="H1481" s="795">
        <f t="shared" si="93"/>
        <v>912481.9986712375</v>
      </c>
      <c r="I1481" s="792">
        <f t="shared" si="94"/>
        <v>0</v>
      </c>
      <c r="J1481" s="792"/>
      <c r="K1481" s="812"/>
      <c r="L1481" s="796"/>
      <c r="M1481" s="812"/>
      <c r="N1481" s="796"/>
      <c r="O1481" s="796"/>
    </row>
    <row r="1482" spans="3:15">
      <c r="C1482" s="788">
        <f>IF(D1445="","-",+C1481+1)</f>
        <v>2046</v>
      </c>
      <c r="D1482" s="736">
        <f t="shared" si="90"/>
        <v>2411105.0595238134</v>
      </c>
      <c r="E1482" s="789">
        <f t="shared" si="95"/>
        <v>526059.28571428568</v>
      </c>
      <c r="F1482" s="736">
        <f t="shared" si="91"/>
        <v>1885045.7738095277</v>
      </c>
      <c r="G1482" s="794">
        <f t="shared" si="92"/>
        <v>836464.41579446034</v>
      </c>
      <c r="H1482" s="795">
        <f t="shared" si="93"/>
        <v>836464.41579446034</v>
      </c>
      <c r="I1482" s="792">
        <f t="shared" si="94"/>
        <v>0</v>
      </c>
      <c r="J1482" s="792"/>
      <c r="K1482" s="812"/>
      <c r="L1482" s="796"/>
      <c r="M1482" s="812"/>
      <c r="N1482" s="796"/>
      <c r="O1482" s="796"/>
    </row>
    <row r="1483" spans="3:15">
      <c r="C1483" s="788">
        <f>IF(D1445="","-",+C1482+1)</f>
        <v>2047</v>
      </c>
      <c r="D1483" s="736">
        <f t="shared" si="90"/>
        <v>1885045.7738095277</v>
      </c>
      <c r="E1483" s="789">
        <f t="shared" si="95"/>
        <v>526059.28571428568</v>
      </c>
      <c r="F1483" s="736">
        <f t="shared" si="91"/>
        <v>1358986.4880952421</v>
      </c>
      <c r="G1483" s="794">
        <f t="shared" si="92"/>
        <v>760446.83291768294</v>
      </c>
      <c r="H1483" s="795">
        <f t="shared" si="93"/>
        <v>760446.83291768294</v>
      </c>
      <c r="I1483" s="792">
        <f t="shared" si="94"/>
        <v>0</v>
      </c>
      <c r="J1483" s="792"/>
      <c r="K1483" s="812"/>
      <c r="L1483" s="796"/>
      <c r="M1483" s="812"/>
      <c r="N1483" s="796"/>
      <c r="O1483" s="796"/>
    </row>
    <row r="1484" spans="3:15">
      <c r="C1484" s="788">
        <f>IF(D1445="","-",+C1483+1)</f>
        <v>2048</v>
      </c>
      <c r="D1484" s="736">
        <f t="shared" si="90"/>
        <v>1358986.4880952421</v>
      </c>
      <c r="E1484" s="789">
        <f t="shared" si="95"/>
        <v>526059.28571428568</v>
      </c>
      <c r="F1484" s="736">
        <f t="shared" si="91"/>
        <v>832927.20238095638</v>
      </c>
      <c r="G1484" s="794">
        <f t="shared" si="92"/>
        <v>684429.25004090567</v>
      </c>
      <c r="H1484" s="795">
        <f t="shared" si="93"/>
        <v>684429.25004090567</v>
      </c>
      <c r="I1484" s="792">
        <f t="shared" si="94"/>
        <v>0</v>
      </c>
      <c r="J1484" s="792"/>
      <c r="K1484" s="812"/>
      <c r="L1484" s="796"/>
      <c r="M1484" s="812"/>
      <c r="N1484" s="796"/>
      <c r="O1484" s="796"/>
    </row>
    <row r="1485" spans="3:15">
      <c r="C1485" s="788">
        <f>IF(D1445="","-",+C1484+1)</f>
        <v>2049</v>
      </c>
      <c r="D1485" s="736">
        <f t="shared" si="90"/>
        <v>832927.20238095638</v>
      </c>
      <c r="E1485" s="789">
        <f t="shared" si="95"/>
        <v>526059.28571428568</v>
      </c>
      <c r="F1485" s="736">
        <f t="shared" si="91"/>
        <v>306867.9166666707</v>
      </c>
      <c r="G1485" s="794">
        <f t="shared" si="92"/>
        <v>608411.66716412839</v>
      </c>
      <c r="H1485" s="795">
        <f t="shared" si="93"/>
        <v>608411.66716412839</v>
      </c>
      <c r="I1485" s="792">
        <f t="shared" si="94"/>
        <v>0</v>
      </c>
      <c r="J1485" s="792"/>
      <c r="K1485" s="812"/>
      <c r="L1485" s="796"/>
      <c r="M1485" s="812"/>
      <c r="N1485" s="796"/>
      <c r="O1485" s="796"/>
    </row>
    <row r="1486" spans="3:15">
      <c r="C1486" s="788">
        <f>IF(D1445="","-",+C1485+1)</f>
        <v>2050</v>
      </c>
      <c r="D1486" s="736">
        <f t="shared" si="90"/>
        <v>306867.9166666707</v>
      </c>
      <c r="E1486" s="789">
        <f t="shared" si="95"/>
        <v>306867.9166666707</v>
      </c>
      <c r="F1486" s="736">
        <f t="shared" si="91"/>
        <v>0</v>
      </c>
      <c r="G1486" s="794">
        <f t="shared" si="92"/>
        <v>329039.71167239768</v>
      </c>
      <c r="H1486" s="795">
        <f t="shared" si="93"/>
        <v>329039.71167239768</v>
      </c>
      <c r="I1486" s="792">
        <f t="shared" si="94"/>
        <v>0</v>
      </c>
      <c r="J1486" s="792"/>
      <c r="K1486" s="812"/>
      <c r="L1486" s="796"/>
      <c r="M1486" s="812"/>
      <c r="N1486" s="796"/>
      <c r="O1486" s="796"/>
    </row>
    <row r="1487" spans="3:15">
      <c r="C1487" s="788">
        <f>IF(D1445="","-",+C1486+1)</f>
        <v>2051</v>
      </c>
      <c r="D1487" s="736">
        <f t="shared" si="90"/>
        <v>0</v>
      </c>
      <c r="E1487" s="789">
        <f t="shared" si="95"/>
        <v>0</v>
      </c>
      <c r="F1487" s="736">
        <f t="shared" si="91"/>
        <v>0</v>
      </c>
      <c r="G1487" s="794">
        <f t="shared" si="92"/>
        <v>0</v>
      </c>
      <c r="H1487" s="795">
        <f t="shared" si="93"/>
        <v>0</v>
      </c>
      <c r="I1487" s="792">
        <f t="shared" si="94"/>
        <v>0</v>
      </c>
      <c r="J1487" s="792"/>
      <c r="K1487" s="812"/>
      <c r="L1487" s="796"/>
      <c r="M1487" s="812"/>
      <c r="N1487" s="796"/>
      <c r="O1487" s="796"/>
    </row>
    <row r="1488" spans="3:15">
      <c r="C1488" s="788">
        <f>IF(D1445="","-",+C1487+1)</f>
        <v>2052</v>
      </c>
      <c r="D1488" s="736">
        <f t="shared" si="90"/>
        <v>0</v>
      </c>
      <c r="E1488" s="789">
        <f t="shared" si="95"/>
        <v>0</v>
      </c>
      <c r="F1488" s="736">
        <f t="shared" si="91"/>
        <v>0</v>
      </c>
      <c r="G1488" s="794">
        <f t="shared" si="92"/>
        <v>0</v>
      </c>
      <c r="H1488" s="795">
        <f t="shared" si="93"/>
        <v>0</v>
      </c>
      <c r="I1488" s="792">
        <f t="shared" si="94"/>
        <v>0</v>
      </c>
      <c r="J1488" s="792"/>
      <c r="K1488" s="812"/>
      <c r="L1488" s="796"/>
      <c r="M1488" s="812"/>
      <c r="N1488" s="796"/>
      <c r="O1488" s="796"/>
    </row>
    <row r="1489" spans="3:15">
      <c r="C1489" s="788">
        <f>IF(D1445="","-",+C1488+1)</f>
        <v>2053</v>
      </c>
      <c r="D1489" s="736">
        <f t="shared" si="90"/>
        <v>0</v>
      </c>
      <c r="E1489" s="789">
        <f t="shared" si="95"/>
        <v>0</v>
      </c>
      <c r="F1489" s="736">
        <f t="shared" si="91"/>
        <v>0</v>
      </c>
      <c r="G1489" s="794">
        <f t="shared" si="92"/>
        <v>0</v>
      </c>
      <c r="H1489" s="795">
        <f t="shared" si="93"/>
        <v>0</v>
      </c>
      <c r="I1489" s="792">
        <f t="shared" si="94"/>
        <v>0</v>
      </c>
      <c r="J1489" s="792"/>
      <c r="K1489" s="812"/>
      <c r="L1489" s="796"/>
      <c r="M1489" s="812"/>
      <c r="N1489" s="796"/>
      <c r="O1489" s="796"/>
    </row>
    <row r="1490" spans="3:15">
      <c r="C1490" s="788">
        <f>IF(D1445="","-",+C1489+1)</f>
        <v>2054</v>
      </c>
      <c r="D1490" s="736">
        <f t="shared" si="90"/>
        <v>0</v>
      </c>
      <c r="E1490" s="789">
        <f t="shared" si="95"/>
        <v>0</v>
      </c>
      <c r="F1490" s="736">
        <f t="shared" si="91"/>
        <v>0</v>
      </c>
      <c r="G1490" s="794">
        <f t="shared" si="92"/>
        <v>0</v>
      </c>
      <c r="H1490" s="795">
        <f t="shared" si="93"/>
        <v>0</v>
      </c>
      <c r="I1490" s="792">
        <f t="shared" si="94"/>
        <v>0</v>
      </c>
      <c r="J1490" s="792"/>
      <c r="K1490" s="812"/>
      <c r="L1490" s="796"/>
      <c r="M1490" s="812"/>
      <c r="N1490" s="796"/>
      <c r="O1490" s="796"/>
    </row>
    <row r="1491" spans="3:15">
      <c r="C1491" s="788">
        <f>IF(D1445="","-",+C1490+1)</f>
        <v>2055</v>
      </c>
      <c r="D1491" s="736">
        <f t="shared" si="90"/>
        <v>0</v>
      </c>
      <c r="E1491" s="789">
        <f t="shared" si="95"/>
        <v>0</v>
      </c>
      <c r="F1491" s="736">
        <f t="shared" si="91"/>
        <v>0</v>
      </c>
      <c r="G1491" s="794">
        <f t="shared" si="92"/>
        <v>0</v>
      </c>
      <c r="H1491" s="795">
        <f t="shared" si="93"/>
        <v>0</v>
      </c>
      <c r="I1491" s="792">
        <f t="shared" si="94"/>
        <v>0</v>
      </c>
      <c r="J1491" s="792"/>
      <c r="K1491" s="812"/>
      <c r="L1491" s="796"/>
      <c r="M1491" s="812"/>
      <c r="N1491" s="796"/>
      <c r="O1491" s="796"/>
    </row>
    <row r="1492" spans="3:15">
      <c r="C1492" s="788">
        <f>IF(D1445="","-",+C1491+1)</f>
        <v>2056</v>
      </c>
      <c r="D1492" s="736">
        <f t="shared" si="90"/>
        <v>0</v>
      </c>
      <c r="E1492" s="789">
        <f t="shared" si="95"/>
        <v>0</v>
      </c>
      <c r="F1492" s="736">
        <f t="shared" si="91"/>
        <v>0</v>
      </c>
      <c r="G1492" s="794">
        <f t="shared" si="92"/>
        <v>0</v>
      </c>
      <c r="H1492" s="795">
        <f t="shared" si="93"/>
        <v>0</v>
      </c>
      <c r="I1492" s="792">
        <f t="shared" si="94"/>
        <v>0</v>
      </c>
      <c r="J1492" s="792"/>
      <c r="K1492" s="812"/>
      <c r="L1492" s="796"/>
      <c r="M1492" s="812"/>
      <c r="N1492" s="796"/>
      <c r="O1492" s="796"/>
    </row>
    <row r="1493" spans="3:15">
      <c r="C1493" s="788">
        <f>IF(D1445="","-",+C1492+1)</f>
        <v>2057</v>
      </c>
      <c r="D1493" s="736">
        <f t="shared" si="90"/>
        <v>0</v>
      </c>
      <c r="E1493" s="789">
        <f t="shared" si="95"/>
        <v>0</v>
      </c>
      <c r="F1493" s="736">
        <f t="shared" si="91"/>
        <v>0</v>
      </c>
      <c r="G1493" s="794">
        <f t="shared" si="92"/>
        <v>0</v>
      </c>
      <c r="H1493" s="795">
        <f t="shared" si="93"/>
        <v>0</v>
      </c>
      <c r="I1493" s="792">
        <f t="shared" si="94"/>
        <v>0</v>
      </c>
      <c r="J1493" s="792"/>
      <c r="K1493" s="812"/>
      <c r="L1493" s="796"/>
      <c r="M1493" s="812"/>
      <c r="N1493" s="796"/>
      <c r="O1493" s="796"/>
    </row>
    <row r="1494" spans="3:15">
      <c r="C1494" s="788">
        <f>IF(D1445="","-",+C1493+1)</f>
        <v>2058</v>
      </c>
      <c r="D1494" s="736">
        <f t="shared" si="90"/>
        <v>0</v>
      </c>
      <c r="E1494" s="789">
        <f t="shared" si="95"/>
        <v>0</v>
      </c>
      <c r="F1494" s="736">
        <f t="shared" si="91"/>
        <v>0</v>
      </c>
      <c r="G1494" s="794">
        <f t="shared" si="92"/>
        <v>0</v>
      </c>
      <c r="H1494" s="795">
        <f t="shared" si="93"/>
        <v>0</v>
      </c>
      <c r="I1494" s="792">
        <f t="shared" si="94"/>
        <v>0</v>
      </c>
      <c r="J1494" s="792"/>
      <c r="K1494" s="812"/>
      <c r="L1494" s="796"/>
      <c r="M1494" s="812"/>
      <c r="N1494" s="796"/>
      <c r="O1494" s="796"/>
    </row>
    <row r="1495" spans="3:15">
      <c r="C1495" s="788">
        <f>IF(D1445="","-",+C1494+1)</f>
        <v>2059</v>
      </c>
      <c r="D1495" s="736">
        <f t="shared" si="90"/>
        <v>0</v>
      </c>
      <c r="E1495" s="789">
        <f t="shared" si="95"/>
        <v>0</v>
      </c>
      <c r="F1495" s="736">
        <f t="shared" si="91"/>
        <v>0</v>
      </c>
      <c r="G1495" s="794">
        <f t="shared" si="92"/>
        <v>0</v>
      </c>
      <c r="H1495" s="795">
        <f t="shared" si="93"/>
        <v>0</v>
      </c>
      <c r="I1495" s="792">
        <f t="shared" si="94"/>
        <v>0</v>
      </c>
      <c r="J1495" s="792"/>
      <c r="K1495" s="812"/>
      <c r="L1495" s="796"/>
      <c r="M1495" s="812"/>
      <c r="N1495" s="796"/>
      <c r="O1495" s="796"/>
    </row>
    <row r="1496" spans="3:15">
      <c r="C1496" s="788">
        <f>IF(D1445="","-",+C1495+1)</f>
        <v>2060</v>
      </c>
      <c r="D1496" s="736">
        <f t="shared" si="90"/>
        <v>0</v>
      </c>
      <c r="E1496" s="789">
        <f t="shared" si="95"/>
        <v>0</v>
      </c>
      <c r="F1496" s="736">
        <f t="shared" si="91"/>
        <v>0</v>
      </c>
      <c r="G1496" s="794">
        <f t="shared" si="92"/>
        <v>0</v>
      </c>
      <c r="H1496" s="795">
        <f t="shared" si="93"/>
        <v>0</v>
      </c>
      <c r="I1496" s="792">
        <f t="shared" si="94"/>
        <v>0</v>
      </c>
      <c r="J1496" s="792"/>
      <c r="K1496" s="812"/>
      <c r="L1496" s="796"/>
      <c r="M1496" s="812"/>
      <c r="N1496" s="796"/>
      <c r="O1496" s="796"/>
    </row>
    <row r="1497" spans="3:15">
      <c r="C1497" s="788">
        <f>IF(D1445="","-",+C1496+1)</f>
        <v>2061</v>
      </c>
      <c r="D1497" s="736">
        <f t="shared" si="90"/>
        <v>0</v>
      </c>
      <c r="E1497" s="789">
        <f t="shared" si="95"/>
        <v>0</v>
      </c>
      <c r="F1497" s="736">
        <f t="shared" si="91"/>
        <v>0</v>
      </c>
      <c r="G1497" s="794">
        <f t="shared" si="92"/>
        <v>0</v>
      </c>
      <c r="H1497" s="795">
        <f t="shared" si="93"/>
        <v>0</v>
      </c>
      <c r="I1497" s="792">
        <f t="shared" si="94"/>
        <v>0</v>
      </c>
      <c r="J1497" s="792"/>
      <c r="K1497" s="812"/>
      <c r="L1497" s="796"/>
      <c r="M1497" s="812"/>
      <c r="N1497" s="796"/>
      <c r="O1497" s="796"/>
    </row>
    <row r="1498" spans="3:15">
      <c r="C1498" s="788">
        <f>IF(D1445="","-",+C1497+1)</f>
        <v>2062</v>
      </c>
      <c r="D1498" s="736">
        <f t="shared" si="90"/>
        <v>0</v>
      </c>
      <c r="E1498" s="789">
        <f t="shared" si="95"/>
        <v>0</v>
      </c>
      <c r="F1498" s="736">
        <f t="shared" si="91"/>
        <v>0</v>
      </c>
      <c r="G1498" s="794">
        <f t="shared" si="92"/>
        <v>0</v>
      </c>
      <c r="H1498" s="795">
        <f t="shared" si="93"/>
        <v>0</v>
      </c>
      <c r="I1498" s="792">
        <f t="shared" si="94"/>
        <v>0</v>
      </c>
      <c r="J1498" s="792"/>
      <c r="K1498" s="812"/>
      <c r="L1498" s="796"/>
      <c r="M1498" s="812"/>
      <c r="N1498" s="796"/>
      <c r="O1498" s="796"/>
    </row>
    <row r="1499" spans="3:15">
      <c r="C1499" s="788">
        <f>IF(D1445="","-",+C1498+1)</f>
        <v>2063</v>
      </c>
      <c r="D1499" s="736">
        <f t="shared" si="90"/>
        <v>0</v>
      </c>
      <c r="E1499" s="789">
        <f t="shared" si="95"/>
        <v>0</v>
      </c>
      <c r="F1499" s="736">
        <f t="shared" si="91"/>
        <v>0</v>
      </c>
      <c r="G1499" s="794">
        <f t="shared" si="92"/>
        <v>0</v>
      </c>
      <c r="H1499" s="795">
        <f t="shared" si="93"/>
        <v>0</v>
      </c>
      <c r="I1499" s="792">
        <f t="shared" si="94"/>
        <v>0</v>
      </c>
      <c r="J1499" s="792"/>
      <c r="K1499" s="812"/>
      <c r="L1499" s="796"/>
      <c r="M1499" s="812"/>
      <c r="N1499" s="796"/>
      <c r="O1499" s="796"/>
    </row>
    <row r="1500" spans="3:15">
      <c r="C1500" s="788">
        <f>IF(D1445="","-",+C1499+1)</f>
        <v>2064</v>
      </c>
      <c r="D1500" s="736">
        <f t="shared" si="90"/>
        <v>0</v>
      </c>
      <c r="E1500" s="789">
        <f t="shared" si="95"/>
        <v>0</v>
      </c>
      <c r="F1500" s="736">
        <f t="shared" si="91"/>
        <v>0</v>
      </c>
      <c r="G1500" s="794">
        <f t="shared" si="92"/>
        <v>0</v>
      </c>
      <c r="H1500" s="795">
        <f t="shared" si="93"/>
        <v>0</v>
      </c>
      <c r="I1500" s="792">
        <f t="shared" si="94"/>
        <v>0</v>
      </c>
      <c r="J1500" s="792"/>
      <c r="K1500" s="812"/>
      <c r="L1500" s="796"/>
      <c r="M1500" s="812"/>
      <c r="N1500" s="796"/>
      <c r="O1500" s="796"/>
    </row>
    <row r="1501" spans="3:15">
      <c r="C1501" s="788">
        <f>IF(D1445="","-",+C1500+1)</f>
        <v>2065</v>
      </c>
      <c r="D1501" s="736">
        <f t="shared" si="90"/>
        <v>0</v>
      </c>
      <c r="E1501" s="789">
        <f t="shared" si="95"/>
        <v>0</v>
      </c>
      <c r="F1501" s="736">
        <f t="shared" si="91"/>
        <v>0</v>
      </c>
      <c r="G1501" s="794">
        <f t="shared" si="92"/>
        <v>0</v>
      </c>
      <c r="H1501" s="795">
        <f t="shared" si="93"/>
        <v>0</v>
      </c>
      <c r="I1501" s="792">
        <f t="shared" si="94"/>
        <v>0</v>
      </c>
      <c r="J1501" s="792"/>
      <c r="K1501" s="812"/>
      <c r="L1501" s="796"/>
      <c r="M1501" s="812"/>
      <c r="N1501" s="796"/>
      <c r="O1501" s="796"/>
    </row>
    <row r="1502" spans="3:15">
      <c r="C1502" s="788">
        <f>IF(D1445="","-",+C1501+1)</f>
        <v>2066</v>
      </c>
      <c r="D1502" s="736">
        <f t="shared" si="90"/>
        <v>0</v>
      </c>
      <c r="E1502" s="789">
        <f t="shared" si="95"/>
        <v>0</v>
      </c>
      <c r="F1502" s="736">
        <f t="shared" si="91"/>
        <v>0</v>
      </c>
      <c r="G1502" s="794">
        <f t="shared" si="92"/>
        <v>0</v>
      </c>
      <c r="H1502" s="795">
        <f t="shared" si="93"/>
        <v>0</v>
      </c>
      <c r="I1502" s="792">
        <f t="shared" si="94"/>
        <v>0</v>
      </c>
      <c r="J1502" s="792"/>
      <c r="K1502" s="812"/>
      <c r="L1502" s="796"/>
      <c r="M1502" s="812"/>
      <c r="N1502" s="796"/>
      <c r="O1502" s="796"/>
    </row>
    <row r="1503" spans="3:15">
      <c r="C1503" s="788">
        <f>IF(D1445="","-",+C1502+1)</f>
        <v>2067</v>
      </c>
      <c r="D1503" s="736">
        <f t="shared" si="90"/>
        <v>0</v>
      </c>
      <c r="E1503" s="789">
        <f t="shared" si="95"/>
        <v>0</v>
      </c>
      <c r="F1503" s="736">
        <f t="shared" si="91"/>
        <v>0</v>
      </c>
      <c r="G1503" s="794">
        <f t="shared" si="92"/>
        <v>0</v>
      </c>
      <c r="H1503" s="795">
        <f t="shared" si="93"/>
        <v>0</v>
      </c>
      <c r="I1503" s="792">
        <f t="shared" si="94"/>
        <v>0</v>
      </c>
      <c r="J1503" s="792"/>
      <c r="K1503" s="812"/>
      <c r="L1503" s="796"/>
      <c r="M1503" s="812"/>
      <c r="N1503" s="796"/>
      <c r="O1503" s="796"/>
    </row>
    <row r="1504" spans="3:15">
      <c r="C1504" s="788">
        <f>IF(D1445="","-",+C1503+1)</f>
        <v>2068</v>
      </c>
      <c r="D1504" s="736">
        <f t="shared" si="90"/>
        <v>0</v>
      </c>
      <c r="E1504" s="789">
        <f t="shared" si="95"/>
        <v>0</v>
      </c>
      <c r="F1504" s="736">
        <f t="shared" si="91"/>
        <v>0</v>
      </c>
      <c r="G1504" s="794">
        <f t="shared" si="92"/>
        <v>0</v>
      </c>
      <c r="H1504" s="795">
        <f t="shared" si="93"/>
        <v>0</v>
      </c>
      <c r="I1504" s="792">
        <f t="shared" si="94"/>
        <v>0</v>
      </c>
      <c r="J1504" s="792"/>
      <c r="K1504" s="812"/>
      <c r="L1504" s="796"/>
      <c r="M1504" s="812"/>
      <c r="N1504" s="796"/>
      <c r="O1504" s="796"/>
    </row>
    <row r="1505" spans="3:15">
      <c r="C1505" s="788">
        <f>IF(D1445="","-",+C1504+1)</f>
        <v>2069</v>
      </c>
      <c r="D1505" s="736">
        <f t="shared" si="90"/>
        <v>0</v>
      </c>
      <c r="E1505" s="789">
        <f t="shared" si="95"/>
        <v>0</v>
      </c>
      <c r="F1505" s="736">
        <f t="shared" si="91"/>
        <v>0</v>
      </c>
      <c r="G1505" s="794">
        <f t="shared" si="92"/>
        <v>0</v>
      </c>
      <c r="H1505" s="795">
        <f t="shared" si="93"/>
        <v>0</v>
      </c>
      <c r="I1505" s="792">
        <f t="shared" si="94"/>
        <v>0</v>
      </c>
      <c r="J1505" s="792"/>
      <c r="K1505" s="812"/>
      <c r="L1505" s="796"/>
      <c r="M1505" s="812"/>
      <c r="N1505" s="796"/>
      <c r="O1505" s="796"/>
    </row>
    <row r="1506" spans="3:15">
      <c r="C1506" s="788">
        <f>IF(D1445="","-",+C1505+1)</f>
        <v>2070</v>
      </c>
      <c r="D1506" s="736">
        <f t="shared" si="90"/>
        <v>0</v>
      </c>
      <c r="E1506" s="789">
        <f t="shared" si="95"/>
        <v>0</v>
      </c>
      <c r="F1506" s="736">
        <f t="shared" si="91"/>
        <v>0</v>
      </c>
      <c r="G1506" s="794">
        <f t="shared" si="92"/>
        <v>0</v>
      </c>
      <c r="H1506" s="795">
        <f t="shared" si="93"/>
        <v>0</v>
      </c>
      <c r="I1506" s="792">
        <f t="shared" si="94"/>
        <v>0</v>
      </c>
      <c r="J1506" s="792"/>
      <c r="K1506" s="812"/>
      <c r="L1506" s="796"/>
      <c r="M1506" s="812"/>
      <c r="N1506" s="796"/>
      <c r="O1506" s="796"/>
    </row>
    <row r="1507" spans="3:15">
      <c r="C1507" s="788">
        <f>IF(D1445="","-",+C1506+1)</f>
        <v>2071</v>
      </c>
      <c r="D1507" s="736">
        <f t="shared" si="90"/>
        <v>0</v>
      </c>
      <c r="E1507" s="789">
        <f t="shared" si="95"/>
        <v>0</v>
      </c>
      <c r="F1507" s="736">
        <f t="shared" si="91"/>
        <v>0</v>
      </c>
      <c r="G1507" s="794">
        <f t="shared" si="92"/>
        <v>0</v>
      </c>
      <c r="H1507" s="795">
        <f t="shared" si="93"/>
        <v>0</v>
      </c>
      <c r="I1507" s="792">
        <f t="shared" si="94"/>
        <v>0</v>
      </c>
      <c r="J1507" s="792"/>
      <c r="K1507" s="812"/>
      <c r="L1507" s="796"/>
      <c r="M1507" s="812"/>
      <c r="N1507" s="796"/>
      <c r="O1507" s="796"/>
    </row>
    <row r="1508" spans="3:15">
      <c r="C1508" s="788">
        <f>IF(D1445="","-",+C1507+1)</f>
        <v>2072</v>
      </c>
      <c r="D1508" s="736">
        <f t="shared" si="90"/>
        <v>0</v>
      </c>
      <c r="E1508" s="789">
        <f t="shared" si="95"/>
        <v>0</v>
      </c>
      <c r="F1508" s="736">
        <f t="shared" si="91"/>
        <v>0</v>
      </c>
      <c r="G1508" s="794">
        <f t="shared" si="92"/>
        <v>0</v>
      </c>
      <c r="H1508" s="795">
        <f t="shared" si="93"/>
        <v>0</v>
      </c>
      <c r="I1508" s="792">
        <f t="shared" si="94"/>
        <v>0</v>
      </c>
      <c r="J1508" s="792"/>
      <c r="K1508" s="812"/>
      <c r="L1508" s="796"/>
      <c r="M1508" s="812"/>
      <c r="N1508" s="796"/>
      <c r="O1508" s="796"/>
    </row>
    <row r="1509" spans="3:15">
      <c r="C1509" s="788">
        <f>IF(D1445="","-",+C1508+1)</f>
        <v>2073</v>
      </c>
      <c r="D1509" s="736">
        <f t="shared" si="90"/>
        <v>0</v>
      </c>
      <c r="E1509" s="789">
        <f t="shared" si="95"/>
        <v>0</v>
      </c>
      <c r="F1509" s="736">
        <f t="shared" si="91"/>
        <v>0</v>
      </c>
      <c r="G1509" s="794">
        <f t="shared" si="92"/>
        <v>0</v>
      </c>
      <c r="H1509" s="795">
        <f t="shared" si="93"/>
        <v>0</v>
      </c>
      <c r="I1509" s="792">
        <f t="shared" si="94"/>
        <v>0</v>
      </c>
      <c r="J1509" s="792"/>
      <c r="K1509" s="812"/>
      <c r="L1509" s="796"/>
      <c r="M1509" s="812"/>
      <c r="N1509" s="796"/>
      <c r="O1509" s="796"/>
    </row>
    <row r="1510" spans="3:15" ht="13.5" thickBot="1">
      <c r="C1510" s="798">
        <f>IF(D1445="","-",+C1509+1)</f>
        <v>2074</v>
      </c>
      <c r="D1510" s="799">
        <f t="shared" si="90"/>
        <v>0</v>
      </c>
      <c r="E1510" s="800">
        <f t="shared" si="95"/>
        <v>0</v>
      </c>
      <c r="F1510" s="799">
        <f t="shared" si="91"/>
        <v>0</v>
      </c>
      <c r="G1510" s="801">
        <f t="shared" si="92"/>
        <v>0</v>
      </c>
      <c r="H1510" s="801">
        <f t="shared" si="93"/>
        <v>0</v>
      </c>
      <c r="I1510" s="802">
        <f t="shared" si="94"/>
        <v>0</v>
      </c>
      <c r="J1510" s="792"/>
      <c r="K1510" s="813"/>
      <c r="L1510" s="803"/>
      <c r="M1510" s="813"/>
      <c r="N1510" s="803"/>
      <c r="O1510" s="803"/>
    </row>
    <row r="1511" spans="3:15">
      <c r="C1511" s="736" t="s">
        <v>83</v>
      </c>
      <c r="D1511" s="730"/>
      <c r="E1511" s="730">
        <f>SUM(E1451:E1510)</f>
        <v>18412075.000000004</v>
      </c>
      <c r="F1511" s="730"/>
      <c r="G1511" s="730">
        <f>SUM(G1451:G1510)</f>
        <v>66524870.162426963</v>
      </c>
      <c r="H1511" s="730">
        <f>SUM(H1451:H1510)</f>
        <v>66524870.162426963</v>
      </c>
      <c r="I1511" s="730">
        <f>SUM(I1451:I1510)</f>
        <v>0</v>
      </c>
      <c r="J1511" s="730"/>
      <c r="K1511" s="730"/>
      <c r="L1511" s="730"/>
      <c r="M1511" s="730"/>
      <c r="N1511" s="730"/>
      <c r="O1511" s="313"/>
    </row>
    <row r="1512" spans="3:15">
      <c r="D1512" s="538"/>
      <c r="E1512" s="313"/>
      <c r="F1512" s="313"/>
      <c r="G1512" s="313"/>
      <c r="H1512" s="708"/>
      <c r="I1512" s="708"/>
      <c r="J1512" s="730"/>
      <c r="K1512" s="708"/>
      <c r="L1512" s="708"/>
      <c r="M1512" s="708"/>
      <c r="N1512" s="708"/>
      <c r="O1512" s="313"/>
    </row>
    <row r="1513" spans="3:15">
      <c r="C1513" s="313" t="s">
        <v>13</v>
      </c>
      <c r="D1513" s="538"/>
      <c r="E1513" s="313"/>
      <c r="F1513" s="313"/>
      <c r="G1513" s="313"/>
      <c r="H1513" s="708"/>
      <c r="I1513" s="708"/>
      <c r="J1513" s="730"/>
      <c r="K1513" s="708"/>
      <c r="L1513" s="708"/>
      <c r="M1513" s="708"/>
      <c r="N1513" s="708"/>
      <c r="O1513" s="313"/>
    </row>
    <row r="1514" spans="3:15">
      <c r="C1514" s="313"/>
      <c r="D1514" s="538"/>
      <c r="E1514" s="313"/>
      <c r="F1514" s="313"/>
      <c r="G1514" s="313"/>
      <c r="H1514" s="708"/>
      <c r="I1514" s="708"/>
      <c r="J1514" s="730"/>
      <c r="K1514" s="708"/>
      <c r="L1514" s="708"/>
      <c r="M1514" s="708"/>
      <c r="N1514" s="708"/>
      <c r="O1514" s="313"/>
    </row>
    <row r="1515" spans="3:15">
      <c r="C1515" s="749" t="s">
        <v>14</v>
      </c>
      <c r="D1515" s="736"/>
      <c r="E1515" s="736"/>
      <c r="F1515" s="736"/>
      <c r="G1515" s="730"/>
      <c r="H1515" s="730"/>
      <c r="I1515" s="804"/>
      <c r="J1515" s="804"/>
      <c r="K1515" s="804"/>
      <c r="L1515" s="804"/>
      <c r="M1515" s="804"/>
      <c r="N1515" s="804"/>
      <c r="O1515" s="313"/>
    </row>
    <row r="1516" spans="3:15">
      <c r="C1516" s="735" t="s">
        <v>263</v>
      </c>
      <c r="D1516" s="736"/>
      <c r="E1516" s="736"/>
      <c r="F1516" s="736"/>
      <c r="G1516" s="730"/>
      <c r="H1516" s="730"/>
      <c r="I1516" s="804"/>
      <c r="J1516" s="804"/>
      <c r="K1516" s="804"/>
      <c r="L1516" s="804"/>
      <c r="M1516" s="804"/>
      <c r="N1516" s="804"/>
      <c r="O1516" s="313"/>
    </row>
    <row r="1517" spans="3:15">
      <c r="C1517" s="735" t="s">
        <v>84</v>
      </c>
      <c r="D1517" s="736"/>
      <c r="E1517" s="736"/>
      <c r="F1517" s="736"/>
      <c r="G1517" s="730"/>
      <c r="H1517" s="730"/>
      <c r="I1517" s="804"/>
      <c r="J1517" s="804"/>
      <c r="K1517" s="804"/>
      <c r="L1517" s="804"/>
      <c r="M1517" s="804"/>
      <c r="N1517" s="804"/>
      <c r="O1517" s="313"/>
    </row>
    <row r="1518" spans="3:15">
      <c r="C1518" s="735"/>
      <c r="D1518" s="736"/>
      <c r="E1518" s="736"/>
      <c r="F1518" s="736"/>
      <c r="G1518" s="730"/>
      <c r="H1518" s="730"/>
      <c r="I1518" s="804"/>
      <c r="J1518" s="804"/>
      <c r="K1518" s="804"/>
      <c r="L1518" s="804"/>
      <c r="M1518" s="804"/>
      <c r="N1518" s="804"/>
      <c r="O1518" s="313"/>
    </row>
    <row r="1519" spans="3:15">
      <c r="C1519" s="1547" t="s">
        <v>6</v>
      </c>
      <c r="D1519" s="1547"/>
      <c r="E1519" s="1547"/>
      <c r="F1519" s="1547"/>
      <c r="G1519" s="1547"/>
      <c r="H1519" s="1547"/>
      <c r="I1519" s="1547"/>
      <c r="J1519" s="1547"/>
      <c r="K1519" s="1547"/>
      <c r="L1519" s="1547"/>
      <c r="M1519" s="1547"/>
      <c r="N1519" s="1547"/>
      <c r="O1519" s="1547"/>
    </row>
    <row r="1520" spans="3:15">
      <c r="C1520" s="1547"/>
      <c r="D1520" s="1547"/>
      <c r="E1520" s="1547"/>
      <c r="F1520" s="1547"/>
      <c r="G1520" s="1547"/>
      <c r="H1520" s="1547"/>
      <c r="I1520" s="1547"/>
      <c r="J1520" s="1547"/>
      <c r="K1520" s="1547"/>
      <c r="L1520" s="1547"/>
      <c r="M1520" s="1547"/>
      <c r="N1520" s="1547"/>
      <c r="O1520" s="1547"/>
    </row>
    <row r="1521" spans="1:16">
      <c r="C1521" s="735"/>
      <c r="D1521" s="736"/>
      <c r="E1521" s="736"/>
      <c r="F1521" s="736"/>
      <c r="G1521" s="730"/>
      <c r="H1521" s="730"/>
    </row>
    <row r="1522" spans="1:16" ht="20.25">
      <c r="A1522" s="737" t="str">
        <f>""&amp;A1446&amp;" Worksheet J -  ATRR PROJECTED Calculation for PJM Projects Charged to Benefiting Zones"</f>
        <v xml:space="preserve"> Worksheet J -  ATRR PROJECTED Calculation for PJM Projects Charged to Benefiting Zones</v>
      </c>
      <c r="B1522" s="347"/>
      <c r="C1522" s="725"/>
      <c r="D1522" s="538"/>
      <c r="E1522" s="313"/>
      <c r="F1522" s="707"/>
      <c r="G1522" s="313"/>
      <c r="H1522" s="708"/>
      <c r="K1522" s="564"/>
      <c r="L1522" s="564"/>
      <c r="M1522" s="564"/>
      <c r="N1522" s="653" t="str">
        <f>"Page "&amp;SUM(P$8:P1522)&amp;" of "</f>
        <v xml:space="preserve">Page 18 of </v>
      </c>
      <c r="O1522" s="654">
        <f>COUNT(P$8:P$56653)</f>
        <v>23</v>
      </c>
      <c r="P1522" s="172">
        <v>1</v>
      </c>
    </row>
    <row r="1523" spans="1:16">
      <c r="B1523" s="347"/>
      <c r="C1523" s="313"/>
      <c r="D1523" s="538"/>
      <c r="E1523" s="313"/>
      <c r="F1523" s="313"/>
      <c r="G1523" s="313"/>
      <c r="H1523" s="708"/>
      <c r="I1523" s="313"/>
      <c r="J1523" s="426"/>
      <c r="K1523" s="313"/>
      <c r="L1523" s="313"/>
      <c r="M1523" s="313"/>
      <c r="N1523" s="313"/>
      <c r="O1523" s="313"/>
    </row>
    <row r="1524" spans="1:16" ht="18">
      <c r="B1524" s="657" t="s">
        <v>466</v>
      </c>
      <c r="C1524" s="739" t="s">
        <v>85</v>
      </c>
      <c r="D1524" s="538"/>
      <c r="E1524" s="313"/>
      <c r="F1524" s="313"/>
      <c r="G1524" s="313"/>
      <c r="H1524" s="708"/>
      <c r="I1524" s="708"/>
      <c r="J1524" s="730"/>
      <c r="K1524" s="708"/>
      <c r="L1524" s="708"/>
      <c r="M1524" s="708"/>
      <c r="N1524" s="708"/>
      <c r="O1524" s="313"/>
    </row>
    <row r="1525" spans="1:16" ht="18.75">
      <c r="B1525" s="657"/>
      <c r="C1525" s="656"/>
      <c r="D1525" s="538"/>
      <c r="E1525" s="313"/>
      <c r="F1525" s="313"/>
      <c r="G1525" s="313"/>
      <c r="H1525" s="708"/>
      <c r="I1525" s="708"/>
      <c r="J1525" s="730"/>
      <c r="K1525" s="708"/>
      <c r="L1525" s="708"/>
      <c r="M1525" s="708"/>
      <c r="N1525" s="708"/>
      <c r="O1525" s="313"/>
    </row>
    <row r="1526" spans="1:16" ht="18.75">
      <c r="B1526" s="657"/>
      <c r="C1526" s="656" t="s">
        <v>86</v>
      </c>
      <c r="D1526" s="538"/>
      <c r="E1526" s="313"/>
      <c r="F1526" s="313"/>
      <c r="G1526" s="313"/>
      <c r="H1526" s="708"/>
      <c r="I1526" s="708"/>
      <c r="J1526" s="730"/>
      <c r="K1526" s="708"/>
      <c r="L1526" s="708"/>
      <c r="M1526" s="708"/>
      <c r="N1526" s="708"/>
      <c r="O1526" s="313"/>
    </row>
    <row r="1527" spans="1:16" ht="15.75" thickBot="1">
      <c r="C1527" s="239"/>
      <c r="D1527" s="538"/>
      <c r="E1527" s="313"/>
      <c r="F1527" s="313"/>
      <c r="G1527" s="313"/>
      <c r="H1527" s="708"/>
      <c r="I1527" s="708"/>
      <c r="J1527" s="730"/>
      <c r="K1527" s="708"/>
      <c r="L1527" s="708"/>
      <c r="M1527" s="708"/>
      <c r="N1527" s="708"/>
      <c r="O1527" s="313"/>
    </row>
    <row r="1528" spans="1:16" ht="15.75">
      <c r="C1528" s="659" t="s">
        <v>87</v>
      </c>
      <c r="D1528" s="538"/>
      <c r="E1528" s="313"/>
      <c r="F1528" s="313"/>
      <c r="G1528" s="806"/>
      <c r="H1528" s="313" t="s">
        <v>66</v>
      </c>
      <c r="I1528" s="313"/>
      <c r="J1528" s="426"/>
      <c r="K1528" s="740" t="s">
        <v>91</v>
      </c>
      <c r="L1528" s="741"/>
      <c r="M1528" s="742"/>
      <c r="N1528" s="743">
        <v>0</v>
      </c>
      <c r="O1528" s="313"/>
    </row>
    <row r="1529" spans="1:16" ht="15.75">
      <c r="C1529" s="659"/>
      <c r="D1529" s="538"/>
      <c r="E1529" s="313"/>
      <c r="F1529" s="313"/>
      <c r="G1529" s="313"/>
      <c r="H1529" s="744"/>
      <c r="I1529" s="744"/>
      <c r="J1529" s="745"/>
      <c r="K1529" s="746" t="s">
        <v>92</v>
      </c>
      <c r="L1529" s="747"/>
      <c r="M1529" s="426"/>
      <c r="N1529" s="748">
        <v>0</v>
      </c>
      <c r="O1529" s="313"/>
    </row>
    <row r="1530" spans="1:16" ht="13.5" customHeight="1" thickBot="1">
      <c r="C1530" s="749" t="s">
        <v>88</v>
      </c>
      <c r="D1530" s="1537" t="s">
        <v>826</v>
      </c>
      <c r="E1530" s="1537"/>
      <c r="F1530" s="1537"/>
      <c r="G1530" s="1537"/>
      <c r="H1530" s="1537"/>
      <c r="I1530" s="1537"/>
      <c r="J1530" s="730"/>
      <c r="K1530" s="750" t="s">
        <v>230</v>
      </c>
      <c r="L1530" s="751"/>
      <c r="M1530" s="751"/>
      <c r="N1530" s="752">
        <f>+N1529-N1528</f>
        <v>0</v>
      </c>
      <c r="O1530" s="313"/>
    </row>
    <row r="1531" spans="1:16">
      <c r="C1531" s="753"/>
      <c r="D1531" s="1537"/>
      <c r="E1531" s="1537"/>
      <c r="F1531" s="1537"/>
      <c r="G1531" s="1537"/>
      <c r="H1531" s="1537"/>
      <c r="I1531" s="1537"/>
      <c r="J1531" s="730"/>
      <c r="K1531" s="708"/>
      <c r="L1531" s="708"/>
      <c r="M1531" s="708"/>
      <c r="N1531" s="708"/>
      <c r="O1531" s="313"/>
    </row>
    <row r="1532" spans="1:16" ht="13.5" thickBot="1">
      <c r="C1532" s="756"/>
      <c r="D1532" s="757"/>
      <c r="E1532" s="755"/>
      <c r="F1532" s="755"/>
      <c r="G1532" s="755"/>
      <c r="H1532" s="755"/>
      <c r="I1532" s="755"/>
      <c r="J1532" s="758"/>
      <c r="K1532" s="755"/>
      <c r="L1532" s="755"/>
      <c r="M1532" s="755"/>
      <c r="N1532" s="755"/>
      <c r="O1532" s="347"/>
    </row>
    <row r="1533" spans="1:16" ht="13.5" thickBot="1">
      <c r="C1533" s="759" t="s">
        <v>89</v>
      </c>
      <c r="D1533" s="760"/>
      <c r="E1533" s="760"/>
      <c r="F1533" s="760"/>
      <c r="G1533" s="760"/>
      <c r="H1533" s="760"/>
      <c r="I1533" s="761"/>
      <c r="J1533" s="762"/>
      <c r="K1533" s="313"/>
      <c r="L1533" s="313"/>
      <c r="M1533" s="313"/>
      <c r="N1533" s="313"/>
      <c r="O1533" s="763"/>
    </row>
    <row r="1534" spans="1:16" ht="15">
      <c r="C1534" s="764" t="s">
        <v>67</v>
      </c>
      <c r="D1534" s="808"/>
      <c r="E1534" s="725" t="s">
        <v>68</v>
      </c>
      <c r="G1534" s="765"/>
      <c r="H1534" s="765"/>
      <c r="I1534" s="766">
        <f>$L$26</f>
        <v>2023</v>
      </c>
      <c r="J1534" s="554"/>
      <c r="K1534" s="1536" t="s">
        <v>239</v>
      </c>
      <c r="L1534" s="1536"/>
      <c r="M1534" s="1536"/>
      <c r="N1534" s="1536"/>
      <c r="O1534" s="1536"/>
    </row>
    <row r="1535" spans="1:16">
      <c r="C1535" s="764" t="s">
        <v>70</v>
      </c>
      <c r="D1535" s="809"/>
      <c r="E1535" s="764" t="s">
        <v>71</v>
      </c>
      <c r="F1535" s="765"/>
      <c r="H1535" s="172"/>
      <c r="I1535" s="810">
        <f>IF(G1528="",0,$F$17)</f>
        <v>0</v>
      </c>
      <c r="J1535" s="767"/>
      <c r="K1535" s="730" t="s">
        <v>239</v>
      </c>
    </row>
    <row r="1536" spans="1:16">
      <c r="C1536" s="764" t="s">
        <v>72</v>
      </c>
      <c r="D1536" s="808"/>
      <c r="E1536" s="764" t="s">
        <v>73</v>
      </c>
      <c r="F1536" s="765"/>
      <c r="H1536" s="172"/>
      <c r="I1536" s="768">
        <f>$G$70</f>
        <v>0.14450383244078713</v>
      </c>
      <c r="J1536" s="769"/>
      <c r="K1536" s="172" t="str">
        <f>"          INPUT PROJECTED ARR (WITH &amp; WITHOUT INCENTIVES) FROM EACH PRIOR YEAR"</f>
        <v xml:space="preserve">          INPUT PROJECTED ARR (WITH &amp; WITHOUT INCENTIVES) FROM EACH PRIOR YEAR</v>
      </c>
    </row>
    <row r="1537" spans="2:15">
      <c r="C1537" s="764" t="s">
        <v>74</v>
      </c>
      <c r="D1537" s="770">
        <f>$G$79</f>
        <v>35</v>
      </c>
      <c r="E1537" s="764" t="s">
        <v>75</v>
      </c>
      <c r="F1537" s="765"/>
      <c r="H1537" s="172"/>
      <c r="I1537" s="768">
        <f>IF(G1528="",I1536,$G$69)</f>
        <v>0.14450383244078713</v>
      </c>
      <c r="J1537" s="771"/>
      <c r="K1537" s="172" t="s">
        <v>152</v>
      </c>
    </row>
    <row r="1538" spans="2:15" ht="13.5" thickBot="1">
      <c r="C1538" s="764" t="s">
        <v>76</v>
      </c>
      <c r="D1538" s="807"/>
      <c r="E1538" s="772" t="s">
        <v>77</v>
      </c>
      <c r="F1538" s="773"/>
      <c r="G1538" s="774"/>
      <c r="H1538" s="774"/>
      <c r="I1538" s="752">
        <f>IF(D1534=0,0,D1534/D1537)</f>
        <v>0</v>
      </c>
      <c r="J1538" s="730"/>
      <c r="K1538" s="730" t="s">
        <v>158</v>
      </c>
      <c r="L1538" s="730"/>
      <c r="M1538" s="730"/>
      <c r="N1538" s="730"/>
      <c r="O1538" s="426"/>
    </row>
    <row r="1539" spans="2:15" ht="38.25">
      <c r="B1539" s="845"/>
      <c r="C1539" s="775" t="s">
        <v>67</v>
      </c>
      <c r="D1539" s="776" t="s">
        <v>78</v>
      </c>
      <c r="E1539" s="777" t="s">
        <v>79</v>
      </c>
      <c r="F1539" s="776" t="s">
        <v>80</v>
      </c>
      <c r="G1539" s="777" t="s">
        <v>151</v>
      </c>
      <c r="H1539" s="778" t="s">
        <v>151</v>
      </c>
      <c r="I1539" s="775" t="s">
        <v>90</v>
      </c>
      <c r="J1539" s="779"/>
      <c r="K1539" s="777" t="s">
        <v>160</v>
      </c>
      <c r="L1539" s="780"/>
      <c r="M1539" s="777" t="s">
        <v>160</v>
      </c>
      <c r="N1539" s="780"/>
      <c r="O1539" s="780"/>
    </row>
    <row r="1540" spans="2:15" ht="13.5" thickBot="1">
      <c r="C1540" s="781" t="s">
        <v>469</v>
      </c>
      <c r="D1540" s="782" t="s">
        <v>470</v>
      </c>
      <c r="E1540" s="781" t="s">
        <v>363</v>
      </c>
      <c r="F1540" s="782" t="s">
        <v>470</v>
      </c>
      <c r="G1540" s="783" t="s">
        <v>93</v>
      </c>
      <c r="H1540" s="784" t="s">
        <v>95</v>
      </c>
      <c r="I1540" s="785" t="s">
        <v>15</v>
      </c>
      <c r="J1540" s="786"/>
      <c r="K1540" s="783" t="s">
        <v>82</v>
      </c>
      <c r="L1540" s="787"/>
      <c r="M1540" s="783" t="s">
        <v>95</v>
      </c>
      <c r="N1540" s="787"/>
      <c r="O1540" s="787"/>
    </row>
    <row r="1541" spans="2:15">
      <c r="C1541" s="788" t="str">
        <f>IF(D1535= "","-",D1535)</f>
        <v>-</v>
      </c>
      <c r="D1541" s="736">
        <f>+D1534</f>
        <v>0</v>
      </c>
      <c r="E1541" s="789">
        <f>+I1538/12*(12-D1536)</f>
        <v>0</v>
      </c>
      <c r="F1541" s="736">
        <f>+D1541-E1541</f>
        <v>0</v>
      </c>
      <c r="G1541" s="985">
        <f>+$I$96*((D1541+F1541)/2)+E1541</f>
        <v>0</v>
      </c>
      <c r="H1541" s="986">
        <f>$I$97*((D1541+F1541)/2)+E1541</f>
        <v>0</v>
      </c>
      <c r="I1541" s="792">
        <f>+H1541-G1541</f>
        <v>0</v>
      </c>
      <c r="J1541" s="792"/>
      <c r="K1541" s="811"/>
      <c r="L1541" s="793"/>
      <c r="M1541" s="811"/>
      <c r="N1541" s="793"/>
      <c r="O1541" s="793"/>
    </row>
    <row r="1542" spans="2:15">
      <c r="C1542" s="788" t="str">
        <f>IF(D1535="","-",+C1541+1)</f>
        <v>-</v>
      </c>
      <c r="D1542" s="736">
        <f t="shared" ref="D1542:D1600" si="96">F1541</f>
        <v>0</v>
      </c>
      <c r="E1542" s="789">
        <f>IF(D1542&gt;$I$1538,$I$1538,D1542)</f>
        <v>0</v>
      </c>
      <c r="F1542" s="736">
        <f t="shared" ref="F1542:F1600" si="97">+D1542-E1542</f>
        <v>0</v>
      </c>
      <c r="G1542" s="794">
        <f t="shared" ref="G1542:G1600" si="98">+$I$96*((D1542+F1542)/2)+E1542</f>
        <v>0</v>
      </c>
      <c r="H1542" s="795">
        <f t="shared" ref="H1542:H1600" si="99">$I$97*((D1542+F1542)/2)+E1542</f>
        <v>0</v>
      </c>
      <c r="I1542" s="792">
        <f t="shared" ref="I1542:I1600" si="100">+H1542-G1542</f>
        <v>0</v>
      </c>
      <c r="J1542" s="792"/>
      <c r="K1542" s="812"/>
      <c r="L1542" s="796"/>
      <c r="M1542" s="812"/>
      <c r="N1542" s="796"/>
      <c r="O1542" s="796"/>
    </row>
    <row r="1543" spans="2:15">
      <c r="C1543" s="788" t="str">
        <f>IF(D1535="","-",+C1542+1)</f>
        <v>-</v>
      </c>
      <c r="D1543" s="736">
        <f t="shared" si="96"/>
        <v>0</v>
      </c>
      <c r="E1543" s="789">
        <f t="shared" ref="E1543:E1600" si="101">IF(D1543&gt;$I$1538,$I$1538,D1543)</f>
        <v>0</v>
      </c>
      <c r="F1543" s="736">
        <f t="shared" si="97"/>
        <v>0</v>
      </c>
      <c r="G1543" s="794">
        <f t="shared" si="98"/>
        <v>0</v>
      </c>
      <c r="H1543" s="795">
        <f t="shared" si="99"/>
        <v>0</v>
      </c>
      <c r="I1543" s="792">
        <f t="shared" si="100"/>
        <v>0</v>
      </c>
      <c r="J1543" s="792"/>
      <c r="K1543" s="812"/>
      <c r="L1543" s="796"/>
      <c r="M1543" s="812"/>
      <c r="N1543" s="796"/>
      <c r="O1543" s="796"/>
    </row>
    <row r="1544" spans="2:15">
      <c r="C1544" s="788" t="str">
        <f>IF(D1535="","-",+C1543+1)</f>
        <v>-</v>
      </c>
      <c r="D1544" s="736">
        <f t="shared" si="96"/>
        <v>0</v>
      </c>
      <c r="E1544" s="789">
        <f t="shared" si="101"/>
        <v>0</v>
      </c>
      <c r="F1544" s="736">
        <f t="shared" si="97"/>
        <v>0</v>
      </c>
      <c r="G1544" s="794">
        <f t="shared" si="98"/>
        <v>0</v>
      </c>
      <c r="H1544" s="795">
        <f t="shared" si="99"/>
        <v>0</v>
      </c>
      <c r="I1544" s="792">
        <f t="shared" si="100"/>
        <v>0</v>
      </c>
      <c r="J1544" s="792"/>
      <c r="K1544" s="812"/>
      <c r="L1544" s="796"/>
      <c r="M1544" s="812"/>
      <c r="N1544" s="796"/>
      <c r="O1544" s="796"/>
    </row>
    <row r="1545" spans="2:15">
      <c r="C1545" s="788" t="str">
        <f>IF(D1535="","-",+C1544+1)</f>
        <v>-</v>
      </c>
      <c r="D1545" s="736">
        <f t="shared" si="96"/>
        <v>0</v>
      </c>
      <c r="E1545" s="789">
        <f t="shared" si="101"/>
        <v>0</v>
      </c>
      <c r="F1545" s="736">
        <f t="shared" si="97"/>
        <v>0</v>
      </c>
      <c r="G1545" s="794">
        <f t="shared" si="98"/>
        <v>0</v>
      </c>
      <c r="H1545" s="795">
        <f t="shared" si="99"/>
        <v>0</v>
      </c>
      <c r="I1545" s="792">
        <f t="shared" si="100"/>
        <v>0</v>
      </c>
      <c r="J1545" s="792"/>
      <c r="K1545" s="812"/>
      <c r="L1545" s="796"/>
      <c r="M1545" s="812"/>
      <c r="N1545" s="796"/>
      <c r="O1545" s="796"/>
    </row>
    <row r="1546" spans="2:15">
      <c r="C1546" s="788" t="str">
        <f>IF(D1535="","-",+C1545+1)</f>
        <v>-</v>
      </c>
      <c r="D1546" s="736">
        <f t="shared" si="96"/>
        <v>0</v>
      </c>
      <c r="E1546" s="789">
        <f t="shared" si="101"/>
        <v>0</v>
      </c>
      <c r="F1546" s="736">
        <f t="shared" si="97"/>
        <v>0</v>
      </c>
      <c r="G1546" s="794">
        <f t="shared" si="98"/>
        <v>0</v>
      </c>
      <c r="H1546" s="795">
        <f t="shared" si="99"/>
        <v>0</v>
      </c>
      <c r="I1546" s="792">
        <f t="shared" si="100"/>
        <v>0</v>
      </c>
      <c r="J1546" s="792"/>
      <c r="K1546" s="812"/>
      <c r="L1546" s="796"/>
      <c r="M1546" s="812"/>
      <c r="N1546" s="796"/>
      <c r="O1546" s="796"/>
    </row>
    <row r="1547" spans="2:15">
      <c r="C1547" s="788" t="str">
        <f>IF(D1535="","-",+C1546+1)</f>
        <v>-</v>
      </c>
      <c r="D1547" s="736">
        <f t="shared" si="96"/>
        <v>0</v>
      </c>
      <c r="E1547" s="789">
        <f t="shared" si="101"/>
        <v>0</v>
      </c>
      <c r="F1547" s="736">
        <f t="shared" si="97"/>
        <v>0</v>
      </c>
      <c r="G1547" s="794">
        <f t="shared" si="98"/>
        <v>0</v>
      </c>
      <c r="H1547" s="795">
        <f t="shared" si="99"/>
        <v>0</v>
      </c>
      <c r="I1547" s="792">
        <f t="shared" si="100"/>
        <v>0</v>
      </c>
      <c r="J1547" s="792"/>
      <c r="K1547" s="812"/>
      <c r="L1547" s="796"/>
      <c r="M1547" s="812"/>
      <c r="N1547" s="796"/>
      <c r="O1547" s="796"/>
    </row>
    <row r="1548" spans="2:15">
      <c r="C1548" s="788" t="str">
        <f>IF(D1535="","-",+C1547+1)</f>
        <v>-</v>
      </c>
      <c r="D1548" s="736">
        <f t="shared" si="96"/>
        <v>0</v>
      </c>
      <c r="E1548" s="789">
        <f t="shared" si="101"/>
        <v>0</v>
      </c>
      <c r="F1548" s="736">
        <f t="shared" si="97"/>
        <v>0</v>
      </c>
      <c r="G1548" s="794">
        <f t="shared" si="98"/>
        <v>0</v>
      </c>
      <c r="H1548" s="795">
        <f t="shared" si="99"/>
        <v>0</v>
      </c>
      <c r="I1548" s="792">
        <f t="shared" si="100"/>
        <v>0</v>
      </c>
      <c r="J1548" s="792"/>
      <c r="K1548" s="812"/>
      <c r="L1548" s="796"/>
      <c r="M1548" s="812"/>
      <c r="N1548" s="796"/>
      <c r="O1548" s="796"/>
    </row>
    <row r="1549" spans="2:15">
      <c r="C1549" s="788" t="str">
        <f>IF(D1535="","-",+C1548+1)</f>
        <v>-</v>
      </c>
      <c r="D1549" s="736">
        <f t="shared" si="96"/>
        <v>0</v>
      </c>
      <c r="E1549" s="789">
        <f t="shared" si="101"/>
        <v>0</v>
      </c>
      <c r="F1549" s="736">
        <f t="shared" si="97"/>
        <v>0</v>
      </c>
      <c r="G1549" s="794">
        <f t="shared" si="98"/>
        <v>0</v>
      </c>
      <c r="H1549" s="795">
        <f t="shared" si="99"/>
        <v>0</v>
      </c>
      <c r="I1549" s="792">
        <f t="shared" si="100"/>
        <v>0</v>
      </c>
      <c r="J1549" s="792"/>
      <c r="K1549" s="812"/>
      <c r="L1549" s="796"/>
      <c r="M1549" s="812"/>
      <c r="N1549" s="796"/>
      <c r="O1549" s="796"/>
    </row>
    <row r="1550" spans="2:15">
      <c r="C1550" s="788" t="str">
        <f>IF(D1535="","-",+C1549+1)</f>
        <v>-</v>
      </c>
      <c r="D1550" s="736">
        <f t="shared" si="96"/>
        <v>0</v>
      </c>
      <c r="E1550" s="789">
        <f t="shared" si="101"/>
        <v>0</v>
      </c>
      <c r="F1550" s="736">
        <f t="shared" si="97"/>
        <v>0</v>
      </c>
      <c r="G1550" s="794">
        <f t="shared" si="98"/>
        <v>0</v>
      </c>
      <c r="H1550" s="795">
        <f t="shared" si="99"/>
        <v>0</v>
      </c>
      <c r="I1550" s="792">
        <f t="shared" si="100"/>
        <v>0</v>
      </c>
      <c r="J1550" s="792"/>
      <c r="K1550" s="812"/>
      <c r="L1550" s="796"/>
      <c r="M1550" s="812"/>
      <c r="N1550" s="796"/>
      <c r="O1550" s="796"/>
    </row>
    <row r="1551" spans="2:15">
      <c r="C1551" s="788" t="str">
        <f>IF(D1535="","-",+C1550+1)</f>
        <v>-</v>
      </c>
      <c r="D1551" s="736">
        <f t="shared" si="96"/>
        <v>0</v>
      </c>
      <c r="E1551" s="789">
        <f t="shared" si="101"/>
        <v>0</v>
      </c>
      <c r="F1551" s="736">
        <f t="shared" si="97"/>
        <v>0</v>
      </c>
      <c r="G1551" s="794">
        <f t="shared" si="98"/>
        <v>0</v>
      </c>
      <c r="H1551" s="795">
        <f t="shared" si="99"/>
        <v>0</v>
      </c>
      <c r="I1551" s="792">
        <f t="shared" si="100"/>
        <v>0</v>
      </c>
      <c r="J1551" s="792"/>
      <c r="K1551" s="812"/>
      <c r="L1551" s="796"/>
      <c r="M1551" s="812"/>
      <c r="N1551" s="796"/>
      <c r="O1551" s="796"/>
    </row>
    <row r="1552" spans="2:15">
      <c r="C1552" s="788" t="str">
        <f>IF(D1535="","-",+C1551+1)</f>
        <v>-</v>
      </c>
      <c r="D1552" s="736">
        <f t="shared" si="96"/>
        <v>0</v>
      </c>
      <c r="E1552" s="789">
        <f t="shared" si="101"/>
        <v>0</v>
      </c>
      <c r="F1552" s="736">
        <f t="shared" si="97"/>
        <v>0</v>
      </c>
      <c r="G1552" s="794">
        <f t="shared" si="98"/>
        <v>0</v>
      </c>
      <c r="H1552" s="795">
        <f t="shared" si="99"/>
        <v>0</v>
      </c>
      <c r="I1552" s="792">
        <f t="shared" si="100"/>
        <v>0</v>
      </c>
      <c r="J1552" s="792"/>
      <c r="K1552" s="812"/>
      <c r="L1552" s="796"/>
      <c r="M1552" s="812"/>
      <c r="N1552" s="796"/>
      <c r="O1552" s="796"/>
    </row>
    <row r="1553" spans="3:15">
      <c r="C1553" s="788" t="str">
        <f>IF(D1535="","-",+C1552+1)</f>
        <v>-</v>
      </c>
      <c r="D1553" s="736">
        <f t="shared" si="96"/>
        <v>0</v>
      </c>
      <c r="E1553" s="789">
        <f t="shared" si="101"/>
        <v>0</v>
      </c>
      <c r="F1553" s="736">
        <f t="shared" si="97"/>
        <v>0</v>
      </c>
      <c r="G1553" s="794">
        <f t="shared" si="98"/>
        <v>0</v>
      </c>
      <c r="H1553" s="795">
        <f t="shared" si="99"/>
        <v>0</v>
      </c>
      <c r="I1553" s="792">
        <f t="shared" si="100"/>
        <v>0</v>
      </c>
      <c r="J1553" s="792"/>
      <c r="K1553" s="812"/>
      <c r="L1553" s="796"/>
      <c r="M1553" s="812"/>
      <c r="N1553" s="797"/>
      <c r="O1553" s="796"/>
    </row>
    <row r="1554" spans="3:15">
      <c r="C1554" s="788" t="str">
        <f>IF(D1535="","-",+C1553+1)</f>
        <v>-</v>
      </c>
      <c r="D1554" s="736">
        <f t="shared" si="96"/>
        <v>0</v>
      </c>
      <c r="E1554" s="789">
        <f t="shared" si="101"/>
        <v>0</v>
      </c>
      <c r="F1554" s="736">
        <f t="shared" si="97"/>
        <v>0</v>
      </c>
      <c r="G1554" s="794">
        <f t="shared" si="98"/>
        <v>0</v>
      </c>
      <c r="H1554" s="795">
        <f t="shared" si="99"/>
        <v>0</v>
      </c>
      <c r="I1554" s="792">
        <f t="shared" si="100"/>
        <v>0</v>
      </c>
      <c r="J1554" s="792"/>
      <c r="K1554" s="812"/>
      <c r="L1554" s="796"/>
      <c r="M1554" s="812"/>
      <c r="N1554" s="796"/>
      <c r="O1554" s="796"/>
    </row>
    <row r="1555" spans="3:15">
      <c r="C1555" s="788" t="str">
        <f>IF(D1535="","-",+C1554+1)</f>
        <v>-</v>
      </c>
      <c r="D1555" s="736">
        <f t="shared" si="96"/>
        <v>0</v>
      </c>
      <c r="E1555" s="789">
        <f t="shared" si="101"/>
        <v>0</v>
      </c>
      <c r="F1555" s="736">
        <f t="shared" si="97"/>
        <v>0</v>
      </c>
      <c r="G1555" s="794">
        <f t="shared" si="98"/>
        <v>0</v>
      </c>
      <c r="H1555" s="795">
        <f t="shared" si="99"/>
        <v>0</v>
      </c>
      <c r="I1555" s="792">
        <f t="shared" si="100"/>
        <v>0</v>
      </c>
      <c r="J1555" s="792"/>
      <c r="K1555" s="812"/>
      <c r="L1555" s="796"/>
      <c r="M1555" s="812"/>
      <c r="N1555" s="796"/>
      <c r="O1555" s="796"/>
    </row>
    <row r="1556" spans="3:15">
      <c r="C1556" s="788" t="str">
        <f>IF(D1535="","-",+C1555+1)</f>
        <v>-</v>
      </c>
      <c r="D1556" s="736">
        <f t="shared" si="96"/>
        <v>0</v>
      </c>
      <c r="E1556" s="789">
        <f t="shared" si="101"/>
        <v>0</v>
      </c>
      <c r="F1556" s="736">
        <f t="shared" si="97"/>
        <v>0</v>
      </c>
      <c r="G1556" s="794">
        <f t="shared" si="98"/>
        <v>0</v>
      </c>
      <c r="H1556" s="795">
        <f t="shared" si="99"/>
        <v>0</v>
      </c>
      <c r="I1556" s="792">
        <f t="shared" si="100"/>
        <v>0</v>
      </c>
      <c r="J1556" s="792"/>
      <c r="K1556" s="812"/>
      <c r="L1556" s="796"/>
      <c r="M1556" s="812"/>
      <c r="N1556" s="796"/>
      <c r="O1556" s="796"/>
    </row>
    <row r="1557" spans="3:15">
      <c r="C1557" s="788" t="str">
        <f>IF(D1535="","-",+C1556+1)</f>
        <v>-</v>
      </c>
      <c r="D1557" s="736">
        <f t="shared" si="96"/>
        <v>0</v>
      </c>
      <c r="E1557" s="789">
        <f t="shared" si="101"/>
        <v>0</v>
      </c>
      <c r="F1557" s="736">
        <f t="shared" si="97"/>
        <v>0</v>
      </c>
      <c r="G1557" s="794">
        <f t="shared" si="98"/>
        <v>0</v>
      </c>
      <c r="H1557" s="795">
        <f t="shared" si="99"/>
        <v>0</v>
      </c>
      <c r="I1557" s="792">
        <f t="shared" si="100"/>
        <v>0</v>
      </c>
      <c r="J1557" s="792"/>
      <c r="K1557" s="812"/>
      <c r="L1557" s="796"/>
      <c r="M1557" s="812"/>
      <c r="N1557" s="796"/>
      <c r="O1557" s="796"/>
    </row>
    <row r="1558" spans="3:15">
      <c r="C1558" s="788" t="str">
        <f>IF(D1535="","-",+C1557+1)</f>
        <v>-</v>
      </c>
      <c r="D1558" s="736">
        <f t="shared" si="96"/>
        <v>0</v>
      </c>
      <c r="E1558" s="789">
        <f t="shared" si="101"/>
        <v>0</v>
      </c>
      <c r="F1558" s="736">
        <f t="shared" si="97"/>
        <v>0</v>
      </c>
      <c r="G1558" s="794">
        <f t="shared" si="98"/>
        <v>0</v>
      </c>
      <c r="H1558" s="795">
        <f t="shared" si="99"/>
        <v>0</v>
      </c>
      <c r="I1558" s="792">
        <f t="shared" si="100"/>
        <v>0</v>
      </c>
      <c r="J1558" s="792"/>
      <c r="K1558" s="812"/>
      <c r="L1558" s="796"/>
      <c r="M1558" s="812"/>
      <c r="N1558" s="796"/>
      <c r="O1558" s="796"/>
    </row>
    <row r="1559" spans="3:15">
      <c r="C1559" s="788" t="str">
        <f>IF(D1535="","-",+C1558+1)</f>
        <v>-</v>
      </c>
      <c r="D1559" s="736">
        <f t="shared" si="96"/>
        <v>0</v>
      </c>
      <c r="E1559" s="789">
        <f t="shared" si="101"/>
        <v>0</v>
      </c>
      <c r="F1559" s="736">
        <f t="shared" si="97"/>
        <v>0</v>
      </c>
      <c r="G1559" s="794">
        <f t="shared" si="98"/>
        <v>0</v>
      </c>
      <c r="H1559" s="795">
        <f t="shared" si="99"/>
        <v>0</v>
      </c>
      <c r="I1559" s="792">
        <f t="shared" si="100"/>
        <v>0</v>
      </c>
      <c r="J1559" s="792"/>
      <c r="K1559" s="812"/>
      <c r="L1559" s="796"/>
      <c r="M1559" s="812"/>
      <c r="N1559" s="796"/>
      <c r="O1559" s="796"/>
    </row>
    <row r="1560" spans="3:15">
      <c r="C1560" s="788" t="str">
        <f>IF(D1535="","-",+C1559+1)</f>
        <v>-</v>
      </c>
      <c r="D1560" s="736">
        <f t="shared" si="96"/>
        <v>0</v>
      </c>
      <c r="E1560" s="789">
        <f t="shared" si="101"/>
        <v>0</v>
      </c>
      <c r="F1560" s="736">
        <f t="shared" si="97"/>
        <v>0</v>
      </c>
      <c r="G1560" s="794">
        <f t="shared" si="98"/>
        <v>0</v>
      </c>
      <c r="H1560" s="795">
        <f t="shared" si="99"/>
        <v>0</v>
      </c>
      <c r="I1560" s="792">
        <f t="shared" si="100"/>
        <v>0</v>
      </c>
      <c r="J1560" s="792"/>
      <c r="K1560" s="812"/>
      <c r="L1560" s="796"/>
      <c r="M1560" s="812"/>
      <c r="N1560" s="796"/>
      <c r="O1560" s="796"/>
    </row>
    <row r="1561" spans="3:15">
      <c r="C1561" s="788" t="str">
        <f>IF(D1535="","-",+C1560+1)</f>
        <v>-</v>
      </c>
      <c r="D1561" s="736">
        <f t="shared" si="96"/>
        <v>0</v>
      </c>
      <c r="E1561" s="789">
        <f t="shared" si="101"/>
        <v>0</v>
      </c>
      <c r="F1561" s="736">
        <f t="shared" si="97"/>
        <v>0</v>
      </c>
      <c r="G1561" s="794">
        <f t="shared" si="98"/>
        <v>0</v>
      </c>
      <c r="H1561" s="795">
        <f t="shared" si="99"/>
        <v>0</v>
      </c>
      <c r="I1561" s="792">
        <f t="shared" si="100"/>
        <v>0</v>
      </c>
      <c r="J1561" s="792"/>
      <c r="K1561" s="812"/>
      <c r="L1561" s="796"/>
      <c r="M1561" s="812"/>
      <c r="N1561" s="796"/>
      <c r="O1561" s="796"/>
    </row>
    <row r="1562" spans="3:15">
      <c r="C1562" s="788" t="str">
        <f>IF(D1535="","-",+C1561+1)</f>
        <v>-</v>
      </c>
      <c r="D1562" s="736">
        <f t="shared" si="96"/>
        <v>0</v>
      </c>
      <c r="E1562" s="789">
        <f t="shared" si="101"/>
        <v>0</v>
      </c>
      <c r="F1562" s="736">
        <f t="shared" si="97"/>
        <v>0</v>
      </c>
      <c r="G1562" s="794">
        <f t="shared" si="98"/>
        <v>0</v>
      </c>
      <c r="H1562" s="795">
        <f t="shared" si="99"/>
        <v>0</v>
      </c>
      <c r="I1562" s="792">
        <f t="shared" si="100"/>
        <v>0</v>
      </c>
      <c r="J1562" s="792"/>
      <c r="K1562" s="812"/>
      <c r="L1562" s="796"/>
      <c r="M1562" s="812"/>
      <c r="N1562" s="796"/>
      <c r="O1562" s="796"/>
    </row>
    <row r="1563" spans="3:15">
      <c r="C1563" s="788" t="str">
        <f>IF(D1535="","-",+C1562+1)</f>
        <v>-</v>
      </c>
      <c r="D1563" s="736">
        <f t="shared" si="96"/>
        <v>0</v>
      </c>
      <c r="E1563" s="789">
        <f t="shared" si="101"/>
        <v>0</v>
      </c>
      <c r="F1563" s="736">
        <f t="shared" si="97"/>
        <v>0</v>
      </c>
      <c r="G1563" s="794">
        <f t="shared" si="98"/>
        <v>0</v>
      </c>
      <c r="H1563" s="795">
        <f t="shared" si="99"/>
        <v>0</v>
      </c>
      <c r="I1563" s="792">
        <f t="shared" si="100"/>
        <v>0</v>
      </c>
      <c r="J1563" s="792"/>
      <c r="K1563" s="812"/>
      <c r="L1563" s="796"/>
      <c r="M1563" s="812"/>
      <c r="N1563" s="796"/>
      <c r="O1563" s="796"/>
    </row>
    <row r="1564" spans="3:15">
      <c r="C1564" s="788" t="str">
        <f>IF(D1535="","-",+C1563+1)</f>
        <v>-</v>
      </c>
      <c r="D1564" s="736">
        <f t="shared" si="96"/>
        <v>0</v>
      </c>
      <c r="E1564" s="789">
        <f t="shared" si="101"/>
        <v>0</v>
      </c>
      <c r="F1564" s="736">
        <f t="shared" si="97"/>
        <v>0</v>
      </c>
      <c r="G1564" s="794">
        <f t="shared" si="98"/>
        <v>0</v>
      </c>
      <c r="H1564" s="795">
        <f t="shared" si="99"/>
        <v>0</v>
      </c>
      <c r="I1564" s="792">
        <f t="shared" si="100"/>
        <v>0</v>
      </c>
      <c r="J1564" s="792"/>
      <c r="K1564" s="812"/>
      <c r="L1564" s="796"/>
      <c r="M1564" s="812"/>
      <c r="N1564" s="796"/>
      <c r="O1564" s="796"/>
    </row>
    <row r="1565" spans="3:15">
      <c r="C1565" s="788" t="str">
        <f>IF(D1535="","-",+C1564+1)</f>
        <v>-</v>
      </c>
      <c r="D1565" s="736">
        <f t="shared" si="96"/>
        <v>0</v>
      </c>
      <c r="E1565" s="789">
        <f t="shared" si="101"/>
        <v>0</v>
      </c>
      <c r="F1565" s="736">
        <f t="shared" si="97"/>
        <v>0</v>
      </c>
      <c r="G1565" s="794">
        <f t="shared" si="98"/>
        <v>0</v>
      </c>
      <c r="H1565" s="795">
        <f t="shared" si="99"/>
        <v>0</v>
      </c>
      <c r="I1565" s="792">
        <f t="shared" si="100"/>
        <v>0</v>
      </c>
      <c r="J1565" s="792"/>
      <c r="K1565" s="812"/>
      <c r="L1565" s="796"/>
      <c r="M1565" s="812"/>
      <c r="N1565" s="796"/>
      <c r="O1565" s="796"/>
    </row>
    <row r="1566" spans="3:15">
      <c r="C1566" s="788" t="str">
        <f>IF(D1535="","-",+C1565+1)</f>
        <v>-</v>
      </c>
      <c r="D1566" s="736">
        <f t="shared" si="96"/>
        <v>0</v>
      </c>
      <c r="E1566" s="789">
        <f t="shared" si="101"/>
        <v>0</v>
      </c>
      <c r="F1566" s="736">
        <f t="shared" si="97"/>
        <v>0</v>
      </c>
      <c r="G1566" s="794">
        <f t="shared" si="98"/>
        <v>0</v>
      </c>
      <c r="H1566" s="795">
        <f t="shared" si="99"/>
        <v>0</v>
      </c>
      <c r="I1566" s="792">
        <f t="shared" si="100"/>
        <v>0</v>
      </c>
      <c r="J1566" s="792"/>
      <c r="K1566" s="812"/>
      <c r="L1566" s="796"/>
      <c r="M1566" s="812"/>
      <c r="N1566" s="796"/>
      <c r="O1566" s="796"/>
    </row>
    <row r="1567" spans="3:15">
      <c r="C1567" s="788" t="str">
        <f>IF(D1535="","-",+C1566+1)</f>
        <v>-</v>
      </c>
      <c r="D1567" s="736">
        <f t="shared" si="96"/>
        <v>0</v>
      </c>
      <c r="E1567" s="789">
        <f t="shared" si="101"/>
        <v>0</v>
      </c>
      <c r="F1567" s="736">
        <f t="shared" si="97"/>
        <v>0</v>
      </c>
      <c r="G1567" s="794">
        <f t="shared" si="98"/>
        <v>0</v>
      </c>
      <c r="H1567" s="795">
        <f t="shared" si="99"/>
        <v>0</v>
      </c>
      <c r="I1567" s="792">
        <f t="shared" si="100"/>
        <v>0</v>
      </c>
      <c r="J1567" s="792"/>
      <c r="K1567" s="812"/>
      <c r="L1567" s="796"/>
      <c r="M1567" s="812"/>
      <c r="N1567" s="796"/>
      <c r="O1567" s="796"/>
    </row>
    <row r="1568" spans="3:15">
      <c r="C1568" s="788" t="str">
        <f>IF(D1535="","-",+C1567+1)</f>
        <v>-</v>
      </c>
      <c r="D1568" s="736">
        <f t="shared" si="96"/>
        <v>0</v>
      </c>
      <c r="E1568" s="789">
        <f t="shared" si="101"/>
        <v>0</v>
      </c>
      <c r="F1568" s="736">
        <f t="shared" si="97"/>
        <v>0</v>
      </c>
      <c r="G1568" s="794">
        <f t="shared" si="98"/>
        <v>0</v>
      </c>
      <c r="H1568" s="795">
        <f t="shared" si="99"/>
        <v>0</v>
      </c>
      <c r="I1568" s="792">
        <f t="shared" si="100"/>
        <v>0</v>
      </c>
      <c r="J1568" s="792"/>
      <c r="K1568" s="812"/>
      <c r="L1568" s="796"/>
      <c r="M1568" s="812"/>
      <c r="N1568" s="796"/>
      <c r="O1568" s="796"/>
    </row>
    <row r="1569" spans="3:15">
      <c r="C1569" s="788" t="str">
        <f>IF(D1535="","-",+C1568+1)</f>
        <v>-</v>
      </c>
      <c r="D1569" s="736">
        <f t="shared" si="96"/>
        <v>0</v>
      </c>
      <c r="E1569" s="789">
        <f t="shared" si="101"/>
        <v>0</v>
      </c>
      <c r="F1569" s="736">
        <f t="shared" si="97"/>
        <v>0</v>
      </c>
      <c r="G1569" s="790">
        <f t="shared" si="98"/>
        <v>0</v>
      </c>
      <c r="H1569" s="795">
        <f t="shared" si="99"/>
        <v>0</v>
      </c>
      <c r="I1569" s="792">
        <f t="shared" si="100"/>
        <v>0</v>
      </c>
      <c r="J1569" s="792"/>
      <c r="K1569" s="812"/>
      <c r="L1569" s="796"/>
      <c r="M1569" s="812"/>
      <c r="N1569" s="796"/>
      <c r="O1569" s="796"/>
    </row>
    <row r="1570" spans="3:15">
      <c r="C1570" s="788" t="str">
        <f>IF(D1535="","-",+C1569+1)</f>
        <v>-</v>
      </c>
      <c r="D1570" s="736">
        <f t="shared" si="96"/>
        <v>0</v>
      </c>
      <c r="E1570" s="789">
        <f t="shared" si="101"/>
        <v>0</v>
      </c>
      <c r="F1570" s="736">
        <f t="shared" si="97"/>
        <v>0</v>
      </c>
      <c r="G1570" s="794">
        <f t="shared" si="98"/>
        <v>0</v>
      </c>
      <c r="H1570" s="795">
        <f t="shared" si="99"/>
        <v>0</v>
      </c>
      <c r="I1570" s="792">
        <f t="shared" si="100"/>
        <v>0</v>
      </c>
      <c r="J1570" s="792"/>
      <c r="K1570" s="812"/>
      <c r="L1570" s="796"/>
      <c r="M1570" s="812"/>
      <c r="N1570" s="796"/>
      <c r="O1570" s="796"/>
    </row>
    <row r="1571" spans="3:15">
      <c r="C1571" s="788" t="str">
        <f>IF(D1535="","-",+C1570+1)</f>
        <v>-</v>
      </c>
      <c r="D1571" s="736">
        <f t="shared" si="96"/>
        <v>0</v>
      </c>
      <c r="E1571" s="789">
        <f t="shared" si="101"/>
        <v>0</v>
      </c>
      <c r="F1571" s="736">
        <f t="shared" si="97"/>
        <v>0</v>
      </c>
      <c r="G1571" s="794">
        <f t="shared" si="98"/>
        <v>0</v>
      </c>
      <c r="H1571" s="795">
        <f t="shared" si="99"/>
        <v>0</v>
      </c>
      <c r="I1571" s="792">
        <f t="shared" si="100"/>
        <v>0</v>
      </c>
      <c r="J1571" s="792"/>
      <c r="K1571" s="812"/>
      <c r="L1571" s="796"/>
      <c r="M1571" s="812"/>
      <c r="N1571" s="796"/>
      <c r="O1571" s="796"/>
    </row>
    <row r="1572" spans="3:15">
      <c r="C1572" s="788" t="str">
        <f>IF(D1535="","-",+C1571+1)</f>
        <v>-</v>
      </c>
      <c r="D1572" s="736">
        <f t="shared" si="96"/>
        <v>0</v>
      </c>
      <c r="E1572" s="789">
        <f t="shared" si="101"/>
        <v>0</v>
      </c>
      <c r="F1572" s="736">
        <f t="shared" si="97"/>
        <v>0</v>
      </c>
      <c r="G1572" s="794">
        <f t="shared" si="98"/>
        <v>0</v>
      </c>
      <c r="H1572" s="795">
        <f t="shared" si="99"/>
        <v>0</v>
      </c>
      <c r="I1572" s="792">
        <f t="shared" si="100"/>
        <v>0</v>
      </c>
      <c r="J1572" s="792"/>
      <c r="K1572" s="812"/>
      <c r="L1572" s="796"/>
      <c r="M1572" s="812"/>
      <c r="N1572" s="796"/>
      <c r="O1572" s="796"/>
    </row>
    <row r="1573" spans="3:15">
      <c r="C1573" s="788" t="str">
        <f>IF(D1535="","-",+C1572+1)</f>
        <v>-</v>
      </c>
      <c r="D1573" s="736">
        <f t="shared" si="96"/>
        <v>0</v>
      </c>
      <c r="E1573" s="789">
        <f t="shared" si="101"/>
        <v>0</v>
      </c>
      <c r="F1573" s="736">
        <f t="shared" si="97"/>
        <v>0</v>
      </c>
      <c r="G1573" s="794">
        <f t="shared" si="98"/>
        <v>0</v>
      </c>
      <c r="H1573" s="795">
        <f t="shared" si="99"/>
        <v>0</v>
      </c>
      <c r="I1573" s="792">
        <f t="shared" si="100"/>
        <v>0</v>
      </c>
      <c r="J1573" s="792"/>
      <c r="K1573" s="812"/>
      <c r="L1573" s="796"/>
      <c r="M1573" s="812"/>
      <c r="N1573" s="796"/>
      <c r="O1573" s="796"/>
    </row>
    <row r="1574" spans="3:15">
      <c r="C1574" s="788" t="str">
        <f>IF(D1535="","-",+C1573+1)</f>
        <v>-</v>
      </c>
      <c r="D1574" s="736">
        <f t="shared" si="96"/>
        <v>0</v>
      </c>
      <c r="E1574" s="789">
        <f t="shared" si="101"/>
        <v>0</v>
      </c>
      <c r="F1574" s="736">
        <f t="shared" si="97"/>
        <v>0</v>
      </c>
      <c r="G1574" s="794">
        <f t="shared" si="98"/>
        <v>0</v>
      </c>
      <c r="H1574" s="795">
        <f t="shared" si="99"/>
        <v>0</v>
      </c>
      <c r="I1574" s="792">
        <f t="shared" si="100"/>
        <v>0</v>
      </c>
      <c r="J1574" s="792"/>
      <c r="K1574" s="812"/>
      <c r="L1574" s="796"/>
      <c r="M1574" s="812"/>
      <c r="N1574" s="796"/>
      <c r="O1574" s="796"/>
    </row>
    <row r="1575" spans="3:15">
      <c r="C1575" s="788" t="str">
        <f>IF(D1535="","-",+C1574+1)</f>
        <v>-</v>
      </c>
      <c r="D1575" s="736">
        <f t="shared" si="96"/>
        <v>0</v>
      </c>
      <c r="E1575" s="789">
        <f t="shared" si="101"/>
        <v>0</v>
      </c>
      <c r="F1575" s="736">
        <f t="shared" si="97"/>
        <v>0</v>
      </c>
      <c r="G1575" s="794">
        <f t="shared" si="98"/>
        <v>0</v>
      </c>
      <c r="H1575" s="795">
        <f t="shared" si="99"/>
        <v>0</v>
      </c>
      <c r="I1575" s="792">
        <f t="shared" si="100"/>
        <v>0</v>
      </c>
      <c r="J1575" s="792"/>
      <c r="K1575" s="812"/>
      <c r="L1575" s="796"/>
      <c r="M1575" s="812"/>
      <c r="N1575" s="796"/>
      <c r="O1575" s="796"/>
    </row>
    <row r="1576" spans="3:15">
      <c r="C1576" s="788" t="str">
        <f>IF(D1535="","-",+C1575+1)</f>
        <v>-</v>
      </c>
      <c r="D1576" s="736">
        <f t="shared" si="96"/>
        <v>0</v>
      </c>
      <c r="E1576" s="789">
        <f t="shared" si="101"/>
        <v>0</v>
      </c>
      <c r="F1576" s="736">
        <f t="shared" si="97"/>
        <v>0</v>
      </c>
      <c r="G1576" s="794">
        <f t="shared" si="98"/>
        <v>0</v>
      </c>
      <c r="H1576" s="795">
        <f t="shared" si="99"/>
        <v>0</v>
      </c>
      <c r="I1576" s="792">
        <f t="shared" si="100"/>
        <v>0</v>
      </c>
      <c r="J1576" s="792"/>
      <c r="K1576" s="812"/>
      <c r="L1576" s="796"/>
      <c r="M1576" s="812"/>
      <c r="N1576" s="796"/>
      <c r="O1576" s="796"/>
    </row>
    <row r="1577" spans="3:15">
      <c r="C1577" s="788" t="str">
        <f>IF(D1535="","-",+C1576+1)</f>
        <v>-</v>
      </c>
      <c r="D1577" s="736">
        <f t="shared" si="96"/>
        <v>0</v>
      </c>
      <c r="E1577" s="789">
        <f t="shared" si="101"/>
        <v>0</v>
      </c>
      <c r="F1577" s="736">
        <f t="shared" si="97"/>
        <v>0</v>
      </c>
      <c r="G1577" s="794">
        <f t="shared" si="98"/>
        <v>0</v>
      </c>
      <c r="H1577" s="795">
        <f t="shared" si="99"/>
        <v>0</v>
      </c>
      <c r="I1577" s="792">
        <f t="shared" si="100"/>
        <v>0</v>
      </c>
      <c r="J1577" s="792"/>
      <c r="K1577" s="812"/>
      <c r="L1577" s="796"/>
      <c r="M1577" s="812"/>
      <c r="N1577" s="796"/>
      <c r="O1577" s="796"/>
    </row>
    <row r="1578" spans="3:15">
      <c r="C1578" s="788" t="str">
        <f>IF(D1535="","-",+C1577+1)</f>
        <v>-</v>
      </c>
      <c r="D1578" s="736">
        <f t="shared" si="96"/>
        <v>0</v>
      </c>
      <c r="E1578" s="789">
        <f t="shared" si="101"/>
        <v>0</v>
      </c>
      <c r="F1578" s="736">
        <f t="shared" si="97"/>
        <v>0</v>
      </c>
      <c r="G1578" s="794">
        <f t="shared" si="98"/>
        <v>0</v>
      </c>
      <c r="H1578" s="795">
        <f t="shared" si="99"/>
        <v>0</v>
      </c>
      <c r="I1578" s="792">
        <f t="shared" si="100"/>
        <v>0</v>
      </c>
      <c r="J1578" s="792"/>
      <c r="K1578" s="812"/>
      <c r="L1578" s="796"/>
      <c r="M1578" s="812"/>
      <c r="N1578" s="796"/>
      <c r="O1578" s="796"/>
    </row>
    <row r="1579" spans="3:15">
      <c r="C1579" s="788" t="str">
        <f>IF(D1535="","-",+C1578+1)</f>
        <v>-</v>
      </c>
      <c r="D1579" s="736">
        <f t="shared" si="96"/>
        <v>0</v>
      </c>
      <c r="E1579" s="789">
        <f t="shared" si="101"/>
        <v>0</v>
      </c>
      <c r="F1579" s="736">
        <f t="shared" si="97"/>
        <v>0</v>
      </c>
      <c r="G1579" s="794">
        <f t="shared" si="98"/>
        <v>0</v>
      </c>
      <c r="H1579" s="795">
        <f t="shared" si="99"/>
        <v>0</v>
      </c>
      <c r="I1579" s="792">
        <f t="shared" si="100"/>
        <v>0</v>
      </c>
      <c r="J1579" s="792"/>
      <c r="K1579" s="812"/>
      <c r="L1579" s="796"/>
      <c r="M1579" s="812"/>
      <c r="N1579" s="796"/>
      <c r="O1579" s="796"/>
    </row>
    <row r="1580" spans="3:15">
      <c r="C1580" s="788" t="str">
        <f>IF(D1535="","-",+C1579+1)</f>
        <v>-</v>
      </c>
      <c r="D1580" s="736">
        <f t="shared" si="96"/>
        <v>0</v>
      </c>
      <c r="E1580" s="789">
        <f t="shared" si="101"/>
        <v>0</v>
      </c>
      <c r="F1580" s="736">
        <f t="shared" si="97"/>
        <v>0</v>
      </c>
      <c r="G1580" s="794">
        <f t="shared" si="98"/>
        <v>0</v>
      </c>
      <c r="H1580" s="795">
        <f t="shared" si="99"/>
        <v>0</v>
      </c>
      <c r="I1580" s="792">
        <f t="shared" si="100"/>
        <v>0</v>
      </c>
      <c r="J1580" s="792"/>
      <c r="K1580" s="812"/>
      <c r="L1580" s="796"/>
      <c r="M1580" s="812"/>
      <c r="N1580" s="796"/>
      <c r="O1580" s="796"/>
    </row>
    <row r="1581" spans="3:15">
      <c r="C1581" s="788" t="str">
        <f>IF(D1535="","-",+C1580+1)</f>
        <v>-</v>
      </c>
      <c r="D1581" s="736">
        <f t="shared" si="96"/>
        <v>0</v>
      </c>
      <c r="E1581" s="789">
        <f t="shared" si="101"/>
        <v>0</v>
      </c>
      <c r="F1581" s="736">
        <f t="shared" si="97"/>
        <v>0</v>
      </c>
      <c r="G1581" s="794">
        <f t="shared" si="98"/>
        <v>0</v>
      </c>
      <c r="H1581" s="795">
        <f t="shared" si="99"/>
        <v>0</v>
      </c>
      <c r="I1581" s="792">
        <f t="shared" si="100"/>
        <v>0</v>
      </c>
      <c r="J1581" s="792"/>
      <c r="K1581" s="812"/>
      <c r="L1581" s="796"/>
      <c r="M1581" s="812"/>
      <c r="N1581" s="796"/>
      <c r="O1581" s="796"/>
    </row>
    <row r="1582" spans="3:15">
      <c r="C1582" s="788" t="str">
        <f>IF(D1535="","-",+C1581+1)</f>
        <v>-</v>
      </c>
      <c r="D1582" s="736">
        <f t="shared" si="96"/>
        <v>0</v>
      </c>
      <c r="E1582" s="789">
        <f t="shared" si="101"/>
        <v>0</v>
      </c>
      <c r="F1582" s="736">
        <f t="shared" si="97"/>
        <v>0</v>
      </c>
      <c r="G1582" s="794">
        <f t="shared" si="98"/>
        <v>0</v>
      </c>
      <c r="H1582" s="795">
        <f t="shared" si="99"/>
        <v>0</v>
      </c>
      <c r="I1582" s="792">
        <f t="shared" si="100"/>
        <v>0</v>
      </c>
      <c r="J1582" s="792"/>
      <c r="K1582" s="812"/>
      <c r="L1582" s="796"/>
      <c r="M1582" s="812"/>
      <c r="N1582" s="796"/>
      <c r="O1582" s="796"/>
    </row>
    <row r="1583" spans="3:15">
      <c r="C1583" s="788" t="str">
        <f>IF(D1535="","-",+C1582+1)</f>
        <v>-</v>
      </c>
      <c r="D1583" s="736">
        <f t="shared" si="96"/>
        <v>0</v>
      </c>
      <c r="E1583" s="789">
        <f t="shared" si="101"/>
        <v>0</v>
      </c>
      <c r="F1583" s="736">
        <f t="shared" si="97"/>
        <v>0</v>
      </c>
      <c r="G1583" s="794">
        <f t="shared" si="98"/>
        <v>0</v>
      </c>
      <c r="H1583" s="795">
        <f t="shared" si="99"/>
        <v>0</v>
      </c>
      <c r="I1583" s="792">
        <f t="shared" si="100"/>
        <v>0</v>
      </c>
      <c r="J1583" s="792"/>
      <c r="K1583" s="812"/>
      <c r="L1583" s="796"/>
      <c r="M1583" s="812"/>
      <c r="N1583" s="796"/>
      <c r="O1583" s="796"/>
    </row>
    <row r="1584" spans="3:15">
      <c r="C1584" s="788" t="str">
        <f>IF(D1535="","-",+C1583+1)</f>
        <v>-</v>
      </c>
      <c r="D1584" s="736">
        <f t="shared" si="96"/>
        <v>0</v>
      </c>
      <c r="E1584" s="789">
        <f t="shared" si="101"/>
        <v>0</v>
      </c>
      <c r="F1584" s="736">
        <f t="shared" si="97"/>
        <v>0</v>
      </c>
      <c r="G1584" s="794">
        <f t="shared" si="98"/>
        <v>0</v>
      </c>
      <c r="H1584" s="795">
        <f t="shared" si="99"/>
        <v>0</v>
      </c>
      <c r="I1584" s="792">
        <f t="shared" si="100"/>
        <v>0</v>
      </c>
      <c r="J1584" s="792"/>
      <c r="K1584" s="812"/>
      <c r="L1584" s="796"/>
      <c r="M1584" s="812"/>
      <c r="N1584" s="796"/>
      <c r="O1584" s="796"/>
    </row>
    <row r="1585" spans="3:15">
      <c r="C1585" s="788" t="str">
        <f>IF(D1535="","-",+C1584+1)</f>
        <v>-</v>
      </c>
      <c r="D1585" s="736">
        <f t="shared" si="96"/>
        <v>0</v>
      </c>
      <c r="E1585" s="789">
        <f t="shared" si="101"/>
        <v>0</v>
      </c>
      <c r="F1585" s="736">
        <f t="shared" si="97"/>
        <v>0</v>
      </c>
      <c r="G1585" s="794">
        <f t="shared" si="98"/>
        <v>0</v>
      </c>
      <c r="H1585" s="795">
        <f t="shared" si="99"/>
        <v>0</v>
      </c>
      <c r="I1585" s="792">
        <f t="shared" si="100"/>
        <v>0</v>
      </c>
      <c r="J1585" s="792"/>
      <c r="K1585" s="812"/>
      <c r="L1585" s="796"/>
      <c r="M1585" s="812"/>
      <c r="N1585" s="796"/>
      <c r="O1585" s="796"/>
    </row>
    <row r="1586" spans="3:15">
      <c r="C1586" s="788" t="str">
        <f>IF(D1535="","-",+C1585+1)</f>
        <v>-</v>
      </c>
      <c r="D1586" s="736">
        <f t="shared" si="96"/>
        <v>0</v>
      </c>
      <c r="E1586" s="789">
        <f t="shared" si="101"/>
        <v>0</v>
      </c>
      <c r="F1586" s="736">
        <f t="shared" si="97"/>
        <v>0</v>
      </c>
      <c r="G1586" s="794">
        <f t="shared" si="98"/>
        <v>0</v>
      </c>
      <c r="H1586" s="795">
        <f t="shared" si="99"/>
        <v>0</v>
      </c>
      <c r="I1586" s="792">
        <f t="shared" si="100"/>
        <v>0</v>
      </c>
      <c r="J1586" s="792"/>
      <c r="K1586" s="812"/>
      <c r="L1586" s="796"/>
      <c r="M1586" s="812"/>
      <c r="N1586" s="796"/>
      <c r="O1586" s="796"/>
    </row>
    <row r="1587" spans="3:15">
      <c r="C1587" s="788" t="str">
        <f>IF(D1535="","-",+C1586+1)</f>
        <v>-</v>
      </c>
      <c r="D1587" s="736">
        <f t="shared" si="96"/>
        <v>0</v>
      </c>
      <c r="E1587" s="789">
        <f t="shared" si="101"/>
        <v>0</v>
      </c>
      <c r="F1587" s="736">
        <f t="shared" si="97"/>
        <v>0</v>
      </c>
      <c r="G1587" s="794">
        <f t="shared" si="98"/>
        <v>0</v>
      </c>
      <c r="H1587" s="795">
        <f t="shared" si="99"/>
        <v>0</v>
      </c>
      <c r="I1587" s="792">
        <f t="shared" si="100"/>
        <v>0</v>
      </c>
      <c r="J1587" s="792"/>
      <c r="K1587" s="812"/>
      <c r="L1587" s="796"/>
      <c r="M1587" s="812"/>
      <c r="N1587" s="796"/>
      <c r="O1587" s="796"/>
    </row>
    <row r="1588" spans="3:15">
      <c r="C1588" s="788" t="str">
        <f>IF(D1535="","-",+C1587+1)</f>
        <v>-</v>
      </c>
      <c r="D1588" s="736">
        <f t="shared" si="96"/>
        <v>0</v>
      </c>
      <c r="E1588" s="789">
        <f t="shared" si="101"/>
        <v>0</v>
      </c>
      <c r="F1588" s="736">
        <f t="shared" si="97"/>
        <v>0</v>
      </c>
      <c r="G1588" s="794">
        <f t="shared" si="98"/>
        <v>0</v>
      </c>
      <c r="H1588" s="795">
        <f t="shared" si="99"/>
        <v>0</v>
      </c>
      <c r="I1588" s="792">
        <f t="shared" si="100"/>
        <v>0</v>
      </c>
      <c r="J1588" s="792"/>
      <c r="K1588" s="812"/>
      <c r="L1588" s="796"/>
      <c r="M1588" s="812"/>
      <c r="N1588" s="796"/>
      <c r="O1588" s="796"/>
    </row>
    <row r="1589" spans="3:15">
      <c r="C1589" s="788" t="str">
        <f>IF(D1535="","-",+C1588+1)</f>
        <v>-</v>
      </c>
      <c r="D1589" s="736">
        <f t="shared" si="96"/>
        <v>0</v>
      </c>
      <c r="E1589" s="789">
        <f t="shared" si="101"/>
        <v>0</v>
      </c>
      <c r="F1589" s="736">
        <f t="shared" si="97"/>
        <v>0</v>
      </c>
      <c r="G1589" s="794">
        <f t="shared" si="98"/>
        <v>0</v>
      </c>
      <c r="H1589" s="795">
        <f t="shared" si="99"/>
        <v>0</v>
      </c>
      <c r="I1589" s="792">
        <f t="shared" si="100"/>
        <v>0</v>
      </c>
      <c r="J1589" s="792"/>
      <c r="K1589" s="812"/>
      <c r="L1589" s="796"/>
      <c r="M1589" s="812"/>
      <c r="N1589" s="796"/>
      <c r="O1589" s="796"/>
    </row>
    <row r="1590" spans="3:15">
      <c r="C1590" s="788" t="str">
        <f>IF(D1535="","-",+C1589+1)</f>
        <v>-</v>
      </c>
      <c r="D1590" s="736">
        <f t="shared" si="96"/>
        <v>0</v>
      </c>
      <c r="E1590" s="789">
        <f t="shared" si="101"/>
        <v>0</v>
      </c>
      <c r="F1590" s="736">
        <f t="shared" si="97"/>
        <v>0</v>
      </c>
      <c r="G1590" s="794">
        <f t="shared" si="98"/>
        <v>0</v>
      </c>
      <c r="H1590" s="795">
        <f t="shared" si="99"/>
        <v>0</v>
      </c>
      <c r="I1590" s="792">
        <f t="shared" si="100"/>
        <v>0</v>
      </c>
      <c r="J1590" s="792"/>
      <c r="K1590" s="812"/>
      <c r="L1590" s="796"/>
      <c r="M1590" s="812"/>
      <c r="N1590" s="796"/>
      <c r="O1590" s="796"/>
    </row>
    <row r="1591" spans="3:15">
      <c r="C1591" s="788" t="str">
        <f>IF(D1535="","-",+C1590+1)</f>
        <v>-</v>
      </c>
      <c r="D1591" s="736">
        <f t="shared" si="96"/>
        <v>0</v>
      </c>
      <c r="E1591" s="789">
        <f t="shared" si="101"/>
        <v>0</v>
      </c>
      <c r="F1591" s="736">
        <f t="shared" si="97"/>
        <v>0</v>
      </c>
      <c r="G1591" s="794">
        <f t="shared" si="98"/>
        <v>0</v>
      </c>
      <c r="H1591" s="795">
        <f t="shared" si="99"/>
        <v>0</v>
      </c>
      <c r="I1591" s="792">
        <f t="shared" si="100"/>
        <v>0</v>
      </c>
      <c r="J1591" s="792"/>
      <c r="K1591" s="812"/>
      <c r="L1591" s="796"/>
      <c r="M1591" s="812"/>
      <c r="N1591" s="796"/>
      <c r="O1591" s="796"/>
    </row>
    <row r="1592" spans="3:15">
      <c r="C1592" s="788" t="str">
        <f>IF(D1535="","-",+C1591+1)</f>
        <v>-</v>
      </c>
      <c r="D1592" s="736">
        <f t="shared" si="96"/>
        <v>0</v>
      </c>
      <c r="E1592" s="789">
        <f t="shared" si="101"/>
        <v>0</v>
      </c>
      <c r="F1592" s="736">
        <f t="shared" si="97"/>
        <v>0</v>
      </c>
      <c r="G1592" s="794">
        <f t="shared" si="98"/>
        <v>0</v>
      </c>
      <c r="H1592" s="795">
        <f t="shared" si="99"/>
        <v>0</v>
      </c>
      <c r="I1592" s="792">
        <f t="shared" si="100"/>
        <v>0</v>
      </c>
      <c r="J1592" s="792"/>
      <c r="K1592" s="812"/>
      <c r="L1592" s="796"/>
      <c r="M1592" s="812"/>
      <c r="N1592" s="796"/>
      <c r="O1592" s="796"/>
    </row>
    <row r="1593" spans="3:15">
      <c r="C1593" s="788" t="str">
        <f>IF(D1535="","-",+C1592+1)</f>
        <v>-</v>
      </c>
      <c r="D1593" s="736">
        <f t="shared" si="96"/>
        <v>0</v>
      </c>
      <c r="E1593" s="789">
        <f t="shared" si="101"/>
        <v>0</v>
      </c>
      <c r="F1593" s="736">
        <f t="shared" si="97"/>
        <v>0</v>
      </c>
      <c r="G1593" s="794">
        <f t="shared" si="98"/>
        <v>0</v>
      </c>
      <c r="H1593" s="795">
        <f t="shared" si="99"/>
        <v>0</v>
      </c>
      <c r="I1593" s="792">
        <f t="shared" si="100"/>
        <v>0</v>
      </c>
      <c r="J1593" s="792"/>
      <c r="K1593" s="812"/>
      <c r="L1593" s="796"/>
      <c r="M1593" s="812"/>
      <c r="N1593" s="796"/>
      <c r="O1593" s="796"/>
    </row>
    <row r="1594" spans="3:15">
      <c r="C1594" s="788" t="str">
        <f>IF(D1535="","-",+C1593+1)</f>
        <v>-</v>
      </c>
      <c r="D1594" s="736">
        <f t="shared" si="96"/>
        <v>0</v>
      </c>
      <c r="E1594" s="789">
        <f t="shared" si="101"/>
        <v>0</v>
      </c>
      <c r="F1594" s="736">
        <f t="shared" si="97"/>
        <v>0</v>
      </c>
      <c r="G1594" s="794">
        <f t="shared" si="98"/>
        <v>0</v>
      </c>
      <c r="H1594" s="795">
        <f t="shared" si="99"/>
        <v>0</v>
      </c>
      <c r="I1594" s="792">
        <f t="shared" si="100"/>
        <v>0</v>
      </c>
      <c r="J1594" s="792"/>
      <c r="K1594" s="812"/>
      <c r="L1594" s="796"/>
      <c r="M1594" s="812"/>
      <c r="N1594" s="796"/>
      <c r="O1594" s="796"/>
    </row>
    <row r="1595" spans="3:15">
      <c r="C1595" s="788" t="str">
        <f>IF(D1535="","-",+C1594+1)</f>
        <v>-</v>
      </c>
      <c r="D1595" s="736">
        <f t="shared" si="96"/>
        <v>0</v>
      </c>
      <c r="E1595" s="789">
        <f t="shared" si="101"/>
        <v>0</v>
      </c>
      <c r="F1595" s="736">
        <f t="shared" si="97"/>
        <v>0</v>
      </c>
      <c r="G1595" s="794">
        <f t="shared" si="98"/>
        <v>0</v>
      </c>
      <c r="H1595" s="795">
        <f t="shared" si="99"/>
        <v>0</v>
      </c>
      <c r="I1595" s="792">
        <f t="shared" si="100"/>
        <v>0</v>
      </c>
      <c r="J1595" s="792"/>
      <c r="K1595" s="812"/>
      <c r="L1595" s="796"/>
      <c r="M1595" s="812"/>
      <c r="N1595" s="796"/>
      <c r="O1595" s="796"/>
    </row>
    <row r="1596" spans="3:15">
      <c r="C1596" s="788" t="str">
        <f>IF(D1535="","-",+C1595+1)</f>
        <v>-</v>
      </c>
      <c r="D1596" s="736">
        <f t="shared" si="96"/>
        <v>0</v>
      </c>
      <c r="E1596" s="789">
        <f t="shared" si="101"/>
        <v>0</v>
      </c>
      <c r="F1596" s="736">
        <f t="shared" si="97"/>
        <v>0</v>
      </c>
      <c r="G1596" s="794">
        <f t="shared" si="98"/>
        <v>0</v>
      </c>
      <c r="H1596" s="795">
        <f t="shared" si="99"/>
        <v>0</v>
      </c>
      <c r="I1596" s="792">
        <f t="shared" si="100"/>
        <v>0</v>
      </c>
      <c r="J1596" s="792"/>
      <c r="K1596" s="812"/>
      <c r="L1596" s="796"/>
      <c r="M1596" s="812"/>
      <c r="N1596" s="796"/>
      <c r="O1596" s="796"/>
    </row>
    <row r="1597" spans="3:15">
      <c r="C1597" s="788" t="str">
        <f>IF(D1535="","-",+C1596+1)</f>
        <v>-</v>
      </c>
      <c r="D1597" s="736">
        <f t="shared" si="96"/>
        <v>0</v>
      </c>
      <c r="E1597" s="789">
        <f t="shared" si="101"/>
        <v>0</v>
      </c>
      <c r="F1597" s="736">
        <f t="shared" si="97"/>
        <v>0</v>
      </c>
      <c r="G1597" s="794">
        <f t="shared" si="98"/>
        <v>0</v>
      </c>
      <c r="H1597" s="795">
        <f t="shared" si="99"/>
        <v>0</v>
      </c>
      <c r="I1597" s="792">
        <f t="shared" si="100"/>
        <v>0</v>
      </c>
      <c r="J1597" s="792"/>
      <c r="K1597" s="812"/>
      <c r="L1597" s="796"/>
      <c r="M1597" s="812"/>
      <c r="N1597" s="796"/>
      <c r="O1597" s="796"/>
    </row>
    <row r="1598" spans="3:15">
      <c r="C1598" s="788" t="str">
        <f>IF(D1535="","-",+C1597+1)</f>
        <v>-</v>
      </c>
      <c r="D1598" s="736">
        <f t="shared" si="96"/>
        <v>0</v>
      </c>
      <c r="E1598" s="789">
        <f t="shared" si="101"/>
        <v>0</v>
      </c>
      <c r="F1598" s="736">
        <f t="shared" si="97"/>
        <v>0</v>
      </c>
      <c r="G1598" s="794">
        <f t="shared" si="98"/>
        <v>0</v>
      </c>
      <c r="H1598" s="795">
        <f t="shared" si="99"/>
        <v>0</v>
      </c>
      <c r="I1598" s="792">
        <f t="shared" si="100"/>
        <v>0</v>
      </c>
      <c r="J1598" s="792"/>
      <c r="K1598" s="812"/>
      <c r="L1598" s="796"/>
      <c r="M1598" s="812"/>
      <c r="N1598" s="796"/>
      <c r="O1598" s="796"/>
    </row>
    <row r="1599" spans="3:15">
      <c r="C1599" s="788" t="str">
        <f>IF(D1535="","-",+C1598+1)</f>
        <v>-</v>
      </c>
      <c r="D1599" s="736">
        <f t="shared" si="96"/>
        <v>0</v>
      </c>
      <c r="E1599" s="789">
        <f t="shared" si="101"/>
        <v>0</v>
      </c>
      <c r="F1599" s="736">
        <f t="shared" si="97"/>
        <v>0</v>
      </c>
      <c r="G1599" s="794">
        <f t="shared" si="98"/>
        <v>0</v>
      </c>
      <c r="H1599" s="795">
        <f t="shared" si="99"/>
        <v>0</v>
      </c>
      <c r="I1599" s="792">
        <f t="shared" si="100"/>
        <v>0</v>
      </c>
      <c r="J1599" s="792"/>
      <c r="K1599" s="812"/>
      <c r="L1599" s="796"/>
      <c r="M1599" s="812"/>
      <c r="N1599" s="796"/>
      <c r="O1599" s="796"/>
    </row>
    <row r="1600" spans="3:15" ht="13.5" thickBot="1">
      <c r="C1600" s="798" t="str">
        <f>IF(D1535="","-",+C1599+1)</f>
        <v>-</v>
      </c>
      <c r="D1600" s="799">
        <f t="shared" si="96"/>
        <v>0</v>
      </c>
      <c r="E1600" s="800">
        <f t="shared" si="101"/>
        <v>0</v>
      </c>
      <c r="F1600" s="799">
        <f t="shared" si="97"/>
        <v>0</v>
      </c>
      <c r="G1600" s="801">
        <f t="shared" si="98"/>
        <v>0</v>
      </c>
      <c r="H1600" s="801">
        <f t="shared" si="99"/>
        <v>0</v>
      </c>
      <c r="I1600" s="802">
        <f t="shared" si="100"/>
        <v>0</v>
      </c>
      <c r="J1600" s="792"/>
      <c r="K1600" s="813"/>
      <c r="L1600" s="803"/>
      <c r="M1600" s="813"/>
      <c r="N1600" s="803"/>
      <c r="O1600" s="803"/>
    </row>
    <row r="1601" spans="1:16">
      <c r="C1601" s="736" t="s">
        <v>83</v>
      </c>
      <c r="D1601" s="730"/>
      <c r="E1601" s="730">
        <f>SUM(E1541:E1600)</f>
        <v>0</v>
      </c>
      <c r="F1601" s="730"/>
      <c r="G1601" s="730">
        <f>SUM(G1541:G1600)</f>
        <v>0</v>
      </c>
      <c r="H1601" s="730">
        <f>SUM(H1541:H1600)</f>
        <v>0</v>
      </c>
      <c r="I1601" s="730">
        <f>SUM(I1541:I1600)</f>
        <v>0</v>
      </c>
      <c r="J1601" s="730"/>
      <c r="K1601" s="730"/>
      <c r="L1601" s="730"/>
      <c r="M1601" s="730"/>
      <c r="N1601" s="730"/>
      <c r="O1601" s="313"/>
    </row>
    <row r="1602" spans="1:16">
      <c r="D1602" s="538"/>
      <c r="E1602" s="313"/>
      <c r="F1602" s="313"/>
      <c r="G1602" s="313"/>
      <c r="H1602" s="708"/>
      <c r="I1602" s="708"/>
      <c r="J1602" s="730"/>
      <c r="K1602" s="708"/>
      <c r="L1602" s="708"/>
      <c r="M1602" s="708"/>
      <c r="N1602" s="708"/>
      <c r="O1602" s="313"/>
    </row>
    <row r="1603" spans="1:16">
      <c r="C1603" s="313" t="s">
        <v>13</v>
      </c>
      <c r="D1603" s="538"/>
      <c r="E1603" s="313"/>
      <c r="F1603" s="313"/>
      <c r="G1603" s="313"/>
      <c r="H1603" s="708"/>
      <c r="I1603" s="708"/>
      <c r="J1603" s="730"/>
      <c r="K1603" s="708"/>
      <c r="L1603" s="708"/>
      <c r="M1603" s="708"/>
      <c r="N1603" s="708"/>
      <c r="O1603" s="313"/>
    </row>
    <row r="1604" spans="1:16">
      <c r="C1604" s="313"/>
      <c r="D1604" s="538"/>
      <c r="E1604" s="313"/>
      <c r="F1604" s="313"/>
      <c r="G1604" s="313"/>
      <c r="H1604" s="708"/>
      <c r="I1604" s="708"/>
      <c r="J1604" s="730"/>
      <c r="K1604" s="708"/>
      <c r="L1604" s="708"/>
      <c r="M1604" s="708"/>
      <c r="N1604" s="708"/>
      <c r="O1604" s="313"/>
    </row>
    <row r="1605" spans="1:16">
      <c r="C1605" s="749" t="s">
        <v>14</v>
      </c>
      <c r="D1605" s="736"/>
      <c r="E1605" s="736"/>
      <c r="F1605" s="736"/>
      <c r="G1605" s="730"/>
      <c r="H1605" s="730"/>
      <c r="I1605" s="804"/>
      <c r="J1605" s="804"/>
      <c r="K1605" s="804"/>
      <c r="L1605" s="804"/>
      <c r="M1605" s="804"/>
      <c r="N1605" s="804"/>
      <c r="O1605" s="313"/>
    </row>
    <row r="1606" spans="1:16">
      <c r="C1606" s="735" t="s">
        <v>263</v>
      </c>
      <c r="D1606" s="736"/>
      <c r="E1606" s="736"/>
      <c r="F1606" s="736"/>
      <c r="G1606" s="730"/>
      <c r="H1606" s="730"/>
      <c r="I1606" s="804"/>
      <c r="J1606" s="804"/>
      <c r="K1606" s="804"/>
      <c r="L1606" s="804"/>
      <c r="M1606" s="804"/>
      <c r="N1606" s="804"/>
      <c r="O1606" s="313"/>
    </row>
    <row r="1607" spans="1:16">
      <c r="C1607" s="735" t="s">
        <v>84</v>
      </c>
      <c r="D1607" s="736"/>
      <c r="E1607" s="736"/>
      <c r="F1607" s="736"/>
      <c r="G1607" s="730"/>
      <c r="H1607" s="730"/>
      <c r="I1607" s="804"/>
      <c r="J1607" s="804"/>
      <c r="K1607" s="804"/>
      <c r="L1607" s="804"/>
      <c r="M1607" s="804"/>
      <c r="N1607" s="804"/>
      <c r="O1607" s="313"/>
    </row>
    <row r="1608" spans="1:16">
      <c r="C1608" s="735"/>
      <c r="D1608" s="736"/>
      <c r="E1608" s="736"/>
      <c r="F1608" s="736"/>
      <c r="G1608" s="730"/>
      <c r="H1608" s="730"/>
      <c r="I1608" s="804"/>
      <c r="J1608" s="804"/>
      <c r="K1608" s="804"/>
      <c r="L1608" s="804"/>
      <c r="M1608" s="804"/>
      <c r="N1608" s="804"/>
      <c r="O1608" s="313"/>
    </row>
    <row r="1609" spans="1:16">
      <c r="C1609" s="1547" t="s">
        <v>6</v>
      </c>
      <c r="D1609" s="1547"/>
      <c r="E1609" s="1547"/>
      <c r="F1609" s="1547"/>
      <c r="G1609" s="1547"/>
      <c r="H1609" s="1547"/>
      <c r="I1609" s="1547"/>
      <c r="J1609" s="1547"/>
      <c r="K1609" s="1547"/>
      <c r="L1609" s="1547"/>
      <c r="M1609" s="1547"/>
      <c r="N1609" s="1547"/>
      <c r="O1609" s="1547"/>
    </row>
    <row r="1610" spans="1:16">
      <c r="C1610" s="1547"/>
      <c r="D1610" s="1547"/>
      <c r="E1610" s="1547"/>
      <c r="F1610" s="1547"/>
      <c r="G1610" s="1547"/>
      <c r="H1610" s="1547"/>
      <c r="I1610" s="1547"/>
      <c r="J1610" s="1547"/>
      <c r="K1610" s="1547"/>
      <c r="L1610" s="1547"/>
      <c r="M1610" s="1547"/>
      <c r="N1610" s="1547"/>
      <c r="O1610" s="1547"/>
    </row>
    <row r="1611" spans="1:16">
      <c r="C1611" s="735"/>
      <c r="D1611" s="736"/>
      <c r="E1611" s="736"/>
      <c r="F1611" s="736"/>
      <c r="G1611" s="730"/>
      <c r="H1611" s="730"/>
    </row>
    <row r="1612" spans="1:16" ht="20.25">
      <c r="A1612" s="737" t="str">
        <f>""&amp;A1536&amp;" Worksheet J -  ATRR PROJECTED Calculation for PJM Projects Charged to Benefiting Zones"</f>
        <v xml:space="preserve"> Worksheet J -  ATRR PROJECTED Calculation for PJM Projects Charged to Benefiting Zones</v>
      </c>
      <c r="B1612" s="347"/>
      <c r="C1612" s="725"/>
      <c r="D1612" s="538"/>
      <c r="E1612" s="313"/>
      <c r="F1612" s="707"/>
      <c r="G1612" s="313"/>
      <c r="H1612" s="708"/>
      <c r="K1612" s="564"/>
      <c r="L1612" s="564"/>
      <c r="M1612" s="564"/>
      <c r="N1612" s="653" t="str">
        <f>"Page "&amp;SUM(P$8:P1612)&amp;" of "</f>
        <v xml:space="preserve">Page 19 of </v>
      </c>
      <c r="O1612" s="654">
        <f>COUNT(P$8:P$56653)</f>
        <v>23</v>
      </c>
      <c r="P1612" s="172">
        <v>1</v>
      </c>
    </row>
    <row r="1613" spans="1:16">
      <c r="B1613" s="347"/>
      <c r="C1613" s="313"/>
      <c r="D1613" s="538"/>
      <c r="E1613" s="313"/>
      <c r="F1613" s="313"/>
      <c r="G1613" s="313"/>
      <c r="H1613" s="708"/>
      <c r="I1613" s="313"/>
      <c r="J1613" s="426"/>
      <c r="K1613" s="313"/>
      <c r="L1613" s="313"/>
      <c r="M1613" s="313"/>
      <c r="N1613" s="313"/>
      <c r="O1613" s="313"/>
    </row>
    <row r="1614" spans="1:16" ht="18">
      <c r="B1614" s="657" t="s">
        <v>466</v>
      </c>
      <c r="C1614" s="739" t="s">
        <v>85</v>
      </c>
      <c r="D1614" s="538"/>
      <c r="E1614" s="313"/>
      <c r="F1614" s="313"/>
      <c r="G1614" s="313"/>
      <c r="H1614" s="708"/>
      <c r="I1614" s="708"/>
      <c r="J1614" s="730"/>
      <c r="K1614" s="708"/>
      <c r="L1614" s="708"/>
      <c r="M1614" s="708"/>
      <c r="N1614" s="708"/>
      <c r="O1614" s="313"/>
    </row>
    <row r="1615" spans="1:16" ht="18.75">
      <c r="B1615" s="657"/>
      <c r="C1615" s="656"/>
      <c r="D1615" s="538"/>
      <c r="E1615" s="313"/>
      <c r="F1615" s="313"/>
      <c r="G1615" s="313"/>
      <c r="H1615" s="708"/>
      <c r="I1615" s="708"/>
      <c r="J1615" s="730"/>
      <c r="K1615" s="708"/>
      <c r="L1615" s="708"/>
      <c r="M1615" s="708"/>
      <c r="N1615" s="708"/>
      <c r="O1615" s="313"/>
    </row>
    <row r="1616" spans="1:16" ht="18.75">
      <c r="B1616" s="657"/>
      <c r="C1616" s="656" t="s">
        <v>86</v>
      </c>
      <c r="D1616" s="538"/>
      <c r="E1616" s="313"/>
      <c r="F1616" s="313"/>
      <c r="G1616" s="313"/>
      <c r="H1616" s="708"/>
      <c r="I1616" s="708"/>
      <c r="J1616" s="730"/>
      <c r="K1616" s="708"/>
      <c r="L1616" s="708"/>
      <c r="M1616" s="708"/>
      <c r="N1616" s="708"/>
      <c r="O1616" s="313"/>
    </row>
    <row r="1617" spans="2:15" ht="15.75" thickBot="1">
      <c r="C1617" s="239"/>
      <c r="D1617" s="538"/>
      <c r="E1617" s="313"/>
      <c r="F1617" s="313"/>
      <c r="G1617" s="313"/>
      <c r="H1617" s="708"/>
      <c r="I1617" s="708"/>
      <c r="J1617" s="730"/>
      <c r="K1617" s="708"/>
      <c r="L1617" s="708"/>
      <c r="M1617" s="708"/>
      <c r="N1617" s="708"/>
      <c r="O1617" s="313"/>
    </row>
    <row r="1618" spans="2:15" ht="15.75">
      <c r="C1618" s="659" t="s">
        <v>87</v>
      </c>
      <c r="D1618" s="538"/>
      <c r="E1618" s="313"/>
      <c r="F1618" s="313"/>
      <c r="G1618" s="806"/>
      <c r="H1618" s="313" t="s">
        <v>66</v>
      </c>
      <c r="I1618" s="313"/>
      <c r="J1618" s="426"/>
      <c r="K1618" s="740" t="s">
        <v>91</v>
      </c>
      <c r="L1618" s="741"/>
      <c r="M1618" s="742"/>
      <c r="N1618" s="743">
        <f>IF(I1624=0,0,VLOOKUP(I1624,C1631:O1690,5))</f>
        <v>1046040.4429250869</v>
      </c>
      <c r="O1618" s="313"/>
    </row>
    <row r="1619" spans="2:15" ht="15.75">
      <c r="C1619" s="659"/>
      <c r="D1619" s="538"/>
      <c r="E1619" s="313"/>
      <c r="F1619" s="313"/>
      <c r="G1619" s="313"/>
      <c r="H1619" s="744"/>
      <c r="I1619" s="744"/>
      <c r="J1619" s="745"/>
      <c r="K1619" s="746" t="s">
        <v>92</v>
      </c>
      <c r="L1619" s="747"/>
      <c r="M1619" s="426"/>
      <c r="N1619" s="748">
        <f>IF(I1624=0,0,VLOOKUP(I1624,C1631:O1690,6))</f>
        <v>1046040.4429250869</v>
      </c>
      <c r="O1619" s="313"/>
    </row>
    <row r="1620" spans="2:15" ht="13.5" thickBot="1">
      <c r="C1620" s="749" t="s">
        <v>88</v>
      </c>
      <c r="D1620" s="1537" t="s">
        <v>827</v>
      </c>
      <c r="E1620" s="1537"/>
      <c r="F1620" s="1537"/>
      <c r="G1620" s="1537"/>
      <c r="H1620" s="1537"/>
      <c r="I1620" s="1537"/>
      <c r="J1620" s="730"/>
      <c r="K1620" s="750" t="s">
        <v>230</v>
      </c>
      <c r="L1620" s="751"/>
      <c r="M1620" s="751"/>
      <c r="N1620" s="752">
        <f>+N1619-N1618</f>
        <v>0</v>
      </c>
      <c r="O1620" s="313"/>
    </row>
    <row r="1621" spans="2:15">
      <c r="C1621" s="753"/>
      <c r="D1621" s="754"/>
      <c r="E1621" s="734"/>
      <c r="F1621" s="734"/>
      <c r="G1621" s="755"/>
      <c r="H1621" s="708"/>
      <c r="I1621" s="708"/>
      <c r="J1621" s="730"/>
      <c r="K1621" s="708"/>
      <c r="L1621" s="708"/>
      <c r="M1621" s="708"/>
      <c r="N1621" s="708"/>
      <c r="O1621" s="313"/>
    </row>
    <row r="1622" spans="2:15" ht="13.5" thickBot="1">
      <c r="C1622" s="756"/>
      <c r="D1622" s="757"/>
      <c r="E1622" s="755"/>
      <c r="F1622" s="755"/>
      <c r="G1622" s="755"/>
      <c r="H1622" s="755"/>
      <c r="I1622" s="755"/>
      <c r="J1622" s="758"/>
      <c r="K1622" s="755"/>
      <c r="L1622" s="755"/>
      <c r="M1622" s="755"/>
      <c r="N1622" s="755"/>
      <c r="O1622" s="347"/>
    </row>
    <row r="1623" spans="2:15" ht="13.5" thickBot="1">
      <c r="C1623" s="759" t="s">
        <v>89</v>
      </c>
      <c r="D1623" s="760"/>
      <c r="E1623" s="760"/>
      <c r="F1623" s="760"/>
      <c r="G1623" s="760"/>
      <c r="H1623" s="760"/>
      <c r="I1623" s="761"/>
      <c r="J1623" s="762"/>
      <c r="K1623" s="313"/>
      <c r="L1623" s="313"/>
      <c r="M1623" s="313"/>
      <c r="N1623" s="313"/>
      <c r="O1623" s="763"/>
    </row>
    <row r="1624" spans="2:15" ht="15">
      <c r="C1624" s="764" t="s">
        <v>67</v>
      </c>
      <c r="D1624" s="808">
        <v>7360772</v>
      </c>
      <c r="E1624" s="725" t="s">
        <v>68</v>
      </c>
      <c r="G1624" s="765"/>
      <c r="H1624" s="765"/>
      <c r="I1624" s="766">
        <f>$L$26</f>
        <v>2023</v>
      </c>
      <c r="J1624" s="554"/>
      <c r="K1624" s="1536" t="s">
        <v>239</v>
      </c>
      <c r="L1624" s="1536"/>
      <c r="M1624" s="1536"/>
      <c r="N1624" s="1536"/>
      <c r="O1624" s="1536"/>
    </row>
    <row r="1625" spans="2:15">
      <c r="C1625" s="764" t="s">
        <v>70</v>
      </c>
      <c r="D1625" s="809">
        <v>2015</v>
      </c>
      <c r="E1625" s="764" t="s">
        <v>71</v>
      </c>
      <c r="F1625" s="765"/>
      <c r="H1625" s="172"/>
      <c r="I1625" s="810">
        <f>IF(G1618="",0,$F$17)</f>
        <v>0</v>
      </c>
      <c r="J1625" s="767"/>
      <c r="K1625" s="730" t="s">
        <v>239</v>
      </c>
    </row>
    <row r="1626" spans="2:15">
      <c r="C1626" s="764" t="s">
        <v>72</v>
      </c>
      <c r="D1626" s="808">
        <v>12</v>
      </c>
      <c r="E1626" s="764" t="s">
        <v>73</v>
      </c>
      <c r="F1626" s="765"/>
      <c r="H1626" s="172"/>
      <c r="I1626" s="768">
        <f>$G$70</f>
        <v>0.14450383244078713</v>
      </c>
      <c r="J1626" s="769"/>
      <c r="K1626" s="172" t="str">
        <f>"          INPUT PROJECTED ARR (WITH &amp; WITHOUT INCENTIVES) FROM EACH PRIOR YEAR"</f>
        <v xml:space="preserve">          INPUT PROJECTED ARR (WITH &amp; WITHOUT INCENTIVES) FROM EACH PRIOR YEAR</v>
      </c>
    </row>
    <row r="1627" spans="2:15">
      <c r="C1627" s="764" t="s">
        <v>74</v>
      </c>
      <c r="D1627" s="770">
        <f>$G$79</f>
        <v>35</v>
      </c>
      <c r="E1627" s="764" t="s">
        <v>75</v>
      </c>
      <c r="F1627" s="765"/>
      <c r="H1627" s="172"/>
      <c r="I1627" s="768">
        <f>IF(G1618="",I1626,$G$69)</f>
        <v>0.14450383244078713</v>
      </c>
      <c r="J1627" s="771"/>
      <c r="K1627" s="172" t="s">
        <v>152</v>
      </c>
    </row>
    <row r="1628" spans="2:15" ht="13.5" thickBot="1">
      <c r="C1628" s="764" t="s">
        <v>76</v>
      </c>
      <c r="D1628" s="807" t="s">
        <v>808</v>
      </c>
      <c r="E1628" s="772" t="s">
        <v>77</v>
      </c>
      <c r="F1628" s="773"/>
      <c r="G1628" s="774"/>
      <c r="H1628" s="774"/>
      <c r="I1628" s="752">
        <f>IF(D1624=0,0,D1624/D1627)</f>
        <v>210307.77142857143</v>
      </c>
      <c r="J1628" s="730"/>
      <c r="K1628" s="730" t="s">
        <v>158</v>
      </c>
      <c r="L1628" s="730"/>
      <c r="M1628" s="730"/>
      <c r="N1628" s="730"/>
      <c r="O1628" s="426"/>
    </row>
    <row r="1629" spans="2:15" ht="38.25">
      <c r="B1629" s="845"/>
      <c r="C1629" s="775" t="s">
        <v>67</v>
      </c>
      <c r="D1629" s="776" t="s">
        <v>78</v>
      </c>
      <c r="E1629" s="777" t="s">
        <v>79</v>
      </c>
      <c r="F1629" s="776" t="s">
        <v>80</v>
      </c>
      <c r="G1629" s="777" t="s">
        <v>151</v>
      </c>
      <c r="H1629" s="778" t="s">
        <v>151</v>
      </c>
      <c r="I1629" s="775" t="s">
        <v>90</v>
      </c>
      <c r="J1629" s="779"/>
      <c r="K1629" s="777" t="s">
        <v>160</v>
      </c>
      <c r="L1629" s="780"/>
      <c r="M1629" s="777" t="s">
        <v>160</v>
      </c>
      <c r="N1629" s="780"/>
      <c r="O1629" s="780"/>
    </row>
    <row r="1630" spans="2:15" ht="13.5" thickBot="1">
      <c r="C1630" s="781" t="s">
        <v>469</v>
      </c>
      <c r="D1630" s="782" t="s">
        <v>470</v>
      </c>
      <c r="E1630" s="781" t="s">
        <v>363</v>
      </c>
      <c r="F1630" s="782" t="s">
        <v>470</v>
      </c>
      <c r="G1630" s="783" t="s">
        <v>93</v>
      </c>
      <c r="H1630" s="784" t="s">
        <v>95</v>
      </c>
      <c r="I1630" s="785" t="s">
        <v>15</v>
      </c>
      <c r="J1630" s="786"/>
      <c r="K1630" s="783" t="s">
        <v>82</v>
      </c>
      <c r="L1630" s="787"/>
      <c r="M1630" s="783" t="s">
        <v>95</v>
      </c>
      <c r="N1630" s="787"/>
      <c r="O1630" s="787"/>
    </row>
    <row r="1631" spans="2:15">
      <c r="C1631" s="788">
        <f>IF(D1625= "","-",D1625)</f>
        <v>2015</v>
      </c>
      <c r="D1631" s="736">
        <f>+D1624</f>
        <v>7360772</v>
      </c>
      <c r="E1631" s="789">
        <f>+I1628/12*(12-D1626)</f>
        <v>0</v>
      </c>
      <c r="F1631" s="736">
        <f>+D1631-E1631</f>
        <v>7360772</v>
      </c>
      <c r="G1631" s="985">
        <f>+$I$96*((D1631+F1631)/2)+E1631</f>
        <v>1063659.7637228374</v>
      </c>
      <c r="H1631" s="986">
        <f>$I$97*((D1631+F1631)/2)+E1631</f>
        <v>1063659.7637228374</v>
      </c>
      <c r="I1631" s="792">
        <f>+H1631-G1631</f>
        <v>0</v>
      </c>
      <c r="J1631" s="792"/>
      <c r="K1631" s="811">
        <v>714472</v>
      </c>
      <c r="L1631" s="793"/>
      <c r="M1631" s="811">
        <v>714472</v>
      </c>
      <c r="N1631" s="793"/>
      <c r="O1631" s="793"/>
    </row>
    <row r="1632" spans="2:15">
      <c r="C1632" s="788">
        <f>IF(D1625="","-",+C1631+1)</f>
        <v>2016</v>
      </c>
      <c r="D1632" s="736">
        <f t="shared" ref="D1632:D1690" si="102">F1631</f>
        <v>7360772</v>
      </c>
      <c r="E1632" s="789">
        <f>IF(D1632&gt;$I$1628,$I$1628,D1632)</f>
        <v>210307.77142857143</v>
      </c>
      <c r="F1632" s="736">
        <f t="shared" ref="F1632:F1690" si="103">+D1632-E1632</f>
        <v>7150464.2285714289</v>
      </c>
      <c r="G1632" s="794">
        <f t="shared" ref="G1632:G1690" si="104">+$I$96*((D1632+F1632)/2)+E1632</f>
        <v>1258772.3956696542</v>
      </c>
      <c r="H1632" s="795">
        <f t="shared" ref="H1632:H1690" si="105">$I$97*((D1632+F1632)/2)+E1632</f>
        <v>1258772.3956696542</v>
      </c>
      <c r="I1632" s="792">
        <f t="shared" ref="I1632:I1690" si="106">+H1632-G1632</f>
        <v>0</v>
      </c>
      <c r="J1632" s="792"/>
      <c r="K1632" s="812">
        <v>1030854</v>
      </c>
      <c r="L1632" s="796"/>
      <c r="M1632" s="812">
        <v>1030854</v>
      </c>
      <c r="N1632" s="796"/>
      <c r="O1632" s="796"/>
    </row>
    <row r="1633" spans="3:15">
      <c r="C1633" s="788">
        <f>IF(D1625="","-",+C1632+1)</f>
        <v>2017</v>
      </c>
      <c r="D1633" s="736">
        <f t="shared" si="102"/>
        <v>7150464.2285714289</v>
      </c>
      <c r="E1633" s="789">
        <f t="shared" ref="E1633:E1690" si="107">IF(D1633&gt;$I$1628,$I$1628,D1633)</f>
        <v>210307.77142857143</v>
      </c>
      <c r="F1633" s="736">
        <f t="shared" si="103"/>
        <v>6940156.4571428578</v>
      </c>
      <c r="G1633" s="794">
        <f t="shared" si="104"/>
        <v>1228382.1167061445</v>
      </c>
      <c r="H1633" s="795">
        <f t="shared" si="105"/>
        <v>1228382.1167061445</v>
      </c>
      <c r="I1633" s="792">
        <f t="shared" si="106"/>
        <v>0</v>
      </c>
      <c r="J1633" s="792"/>
      <c r="K1633" s="812">
        <v>1310546</v>
      </c>
      <c r="L1633" s="796"/>
      <c r="M1633" s="812">
        <v>1310546</v>
      </c>
      <c r="N1633" s="796"/>
      <c r="O1633" s="796"/>
    </row>
    <row r="1634" spans="3:15">
      <c r="C1634" s="1312">
        <f>IF(D1625="","-",+C1633+1)</f>
        <v>2018</v>
      </c>
      <c r="D1634" s="736">
        <f t="shared" si="102"/>
        <v>6940156.4571428578</v>
      </c>
      <c r="E1634" s="789">
        <f t="shared" si="107"/>
        <v>210307.77142857143</v>
      </c>
      <c r="F1634" s="736">
        <f t="shared" si="103"/>
        <v>6729848.6857142868</v>
      </c>
      <c r="G1634" s="794">
        <f t="shared" si="104"/>
        <v>1197991.837742635</v>
      </c>
      <c r="H1634" s="795">
        <f t="shared" si="105"/>
        <v>1197991.837742635</v>
      </c>
      <c r="I1634" s="792">
        <f t="shared" si="106"/>
        <v>0</v>
      </c>
      <c r="J1634" s="792"/>
      <c r="K1634" s="812">
        <v>1148932</v>
      </c>
      <c r="L1634" s="796"/>
      <c r="M1634" s="812">
        <v>1148932</v>
      </c>
      <c r="N1634" s="796"/>
      <c r="O1634" s="796"/>
    </row>
    <row r="1635" spans="3:15">
      <c r="C1635" s="1290">
        <f>IF(D1625="","-",+C1634+1)</f>
        <v>2019</v>
      </c>
      <c r="D1635" s="736">
        <f t="shared" si="102"/>
        <v>6729848.6857142868</v>
      </c>
      <c r="E1635" s="789">
        <f t="shared" si="107"/>
        <v>210307.77142857143</v>
      </c>
      <c r="F1635" s="736">
        <f t="shared" si="103"/>
        <v>6519540.9142857157</v>
      </c>
      <c r="G1635" s="794">
        <f t="shared" si="104"/>
        <v>1167601.5587791253</v>
      </c>
      <c r="H1635" s="795">
        <f t="shared" si="105"/>
        <v>1167601.5587791253</v>
      </c>
      <c r="I1635" s="792">
        <f t="shared" si="106"/>
        <v>0</v>
      </c>
      <c r="J1635" s="792"/>
      <c r="K1635" s="812"/>
      <c r="L1635" s="796"/>
      <c r="M1635" s="812"/>
      <c r="N1635" s="796"/>
      <c r="O1635" s="796"/>
    </row>
    <row r="1636" spans="3:15">
      <c r="C1636" s="788">
        <f>IF(D1625="","-",+C1635+1)</f>
        <v>2020</v>
      </c>
      <c r="D1636" s="736">
        <f t="shared" si="102"/>
        <v>6519540.9142857157</v>
      </c>
      <c r="E1636" s="789">
        <f t="shared" si="107"/>
        <v>210307.77142857143</v>
      </c>
      <c r="F1636" s="736">
        <f t="shared" si="103"/>
        <v>6309233.1428571446</v>
      </c>
      <c r="G1636" s="794">
        <f t="shared" si="104"/>
        <v>1137211.2798156159</v>
      </c>
      <c r="H1636" s="795">
        <f t="shared" si="105"/>
        <v>1137211.2798156159</v>
      </c>
      <c r="I1636" s="792">
        <f t="shared" si="106"/>
        <v>0</v>
      </c>
      <c r="J1636" s="792"/>
      <c r="K1636" s="812"/>
      <c r="L1636" s="796"/>
      <c r="M1636" s="812"/>
      <c r="N1636" s="796"/>
      <c r="O1636" s="796"/>
    </row>
    <row r="1637" spans="3:15">
      <c r="C1637" s="788">
        <f>IF(D1625="","-",+C1636+1)</f>
        <v>2021</v>
      </c>
      <c r="D1637" s="736">
        <f t="shared" si="102"/>
        <v>6309233.1428571446</v>
      </c>
      <c r="E1637" s="789">
        <f t="shared" si="107"/>
        <v>210307.77142857143</v>
      </c>
      <c r="F1637" s="736">
        <f t="shared" si="103"/>
        <v>6098925.3714285735</v>
      </c>
      <c r="G1637" s="794">
        <f t="shared" si="104"/>
        <v>1106821.0008521061</v>
      </c>
      <c r="H1637" s="795">
        <f t="shared" si="105"/>
        <v>1106821.0008521061</v>
      </c>
      <c r="I1637" s="792">
        <f t="shared" si="106"/>
        <v>0</v>
      </c>
      <c r="J1637" s="792"/>
      <c r="K1637" s="812"/>
      <c r="L1637" s="796"/>
      <c r="M1637" s="812"/>
      <c r="N1637" s="796"/>
      <c r="O1637" s="796"/>
    </row>
    <row r="1638" spans="3:15">
      <c r="C1638" s="788">
        <f>IF(D1625="","-",+C1637+1)</f>
        <v>2022</v>
      </c>
      <c r="D1638" s="736">
        <f t="shared" si="102"/>
        <v>6098925.3714285735</v>
      </c>
      <c r="E1638" s="789">
        <f t="shared" si="107"/>
        <v>210307.77142857143</v>
      </c>
      <c r="F1638" s="736">
        <f t="shared" si="103"/>
        <v>5888617.6000000024</v>
      </c>
      <c r="G1638" s="794">
        <f t="shared" si="104"/>
        <v>1076430.7218885967</v>
      </c>
      <c r="H1638" s="795">
        <f t="shared" si="105"/>
        <v>1076430.7218885967</v>
      </c>
      <c r="I1638" s="792">
        <f t="shared" si="106"/>
        <v>0</v>
      </c>
      <c r="J1638" s="792"/>
      <c r="K1638" s="812"/>
      <c r="L1638" s="796"/>
      <c r="M1638" s="812"/>
      <c r="N1638" s="796"/>
      <c r="O1638" s="796"/>
    </row>
    <row r="1639" spans="3:15">
      <c r="C1639" s="788">
        <f>IF(D1625="","-",+C1638+1)</f>
        <v>2023</v>
      </c>
      <c r="D1639" s="736">
        <f t="shared" si="102"/>
        <v>5888617.6000000024</v>
      </c>
      <c r="E1639" s="789">
        <f t="shared" si="107"/>
        <v>210307.77142857143</v>
      </c>
      <c r="F1639" s="736">
        <f t="shared" si="103"/>
        <v>5678309.8285714313</v>
      </c>
      <c r="G1639" s="794">
        <f t="shared" si="104"/>
        <v>1046040.4429250869</v>
      </c>
      <c r="H1639" s="795">
        <f t="shared" si="105"/>
        <v>1046040.4429250869</v>
      </c>
      <c r="I1639" s="792">
        <f t="shared" si="106"/>
        <v>0</v>
      </c>
      <c r="J1639" s="792"/>
      <c r="K1639" s="812"/>
      <c r="L1639" s="796"/>
      <c r="M1639" s="812"/>
      <c r="N1639" s="796"/>
      <c r="O1639" s="796"/>
    </row>
    <row r="1640" spans="3:15">
      <c r="C1640" s="788">
        <f>IF(D1625="","-",+C1639+1)</f>
        <v>2024</v>
      </c>
      <c r="D1640" s="736">
        <f t="shared" si="102"/>
        <v>5678309.8285714313</v>
      </c>
      <c r="E1640" s="789">
        <f t="shared" si="107"/>
        <v>210307.77142857143</v>
      </c>
      <c r="F1640" s="736">
        <f t="shared" si="103"/>
        <v>5468002.0571428603</v>
      </c>
      <c r="G1640" s="794">
        <f t="shared" si="104"/>
        <v>1015650.1639615775</v>
      </c>
      <c r="H1640" s="795">
        <f t="shared" si="105"/>
        <v>1015650.1639615775</v>
      </c>
      <c r="I1640" s="792">
        <f t="shared" si="106"/>
        <v>0</v>
      </c>
      <c r="J1640" s="792"/>
      <c r="K1640" s="812"/>
      <c r="L1640" s="796"/>
      <c r="M1640" s="812"/>
      <c r="N1640" s="796"/>
      <c r="O1640" s="796"/>
    </row>
    <row r="1641" spans="3:15">
      <c r="C1641" s="788">
        <f>IF(D1625="","-",+C1640+1)</f>
        <v>2025</v>
      </c>
      <c r="D1641" s="736">
        <f t="shared" si="102"/>
        <v>5468002.0571428603</v>
      </c>
      <c r="E1641" s="789">
        <f t="shared" si="107"/>
        <v>210307.77142857143</v>
      </c>
      <c r="F1641" s="736">
        <f t="shared" si="103"/>
        <v>5257694.2857142892</v>
      </c>
      <c r="G1641" s="794">
        <f t="shared" si="104"/>
        <v>985259.88499806775</v>
      </c>
      <c r="H1641" s="795">
        <f t="shared" si="105"/>
        <v>985259.88499806775</v>
      </c>
      <c r="I1641" s="792">
        <f t="shared" si="106"/>
        <v>0</v>
      </c>
      <c r="J1641" s="792"/>
      <c r="K1641" s="812"/>
      <c r="L1641" s="796"/>
      <c r="M1641" s="812"/>
      <c r="N1641" s="796"/>
      <c r="O1641" s="796"/>
    </row>
    <row r="1642" spans="3:15">
      <c r="C1642" s="788">
        <f>IF(D1625="","-",+C1641+1)</f>
        <v>2026</v>
      </c>
      <c r="D1642" s="736">
        <f t="shared" si="102"/>
        <v>5257694.2857142892</v>
      </c>
      <c r="E1642" s="789">
        <f t="shared" si="107"/>
        <v>210307.77142857143</v>
      </c>
      <c r="F1642" s="736">
        <f t="shared" si="103"/>
        <v>5047386.5142857181</v>
      </c>
      <c r="G1642" s="794">
        <f t="shared" si="104"/>
        <v>954869.60603455827</v>
      </c>
      <c r="H1642" s="795">
        <f t="shared" si="105"/>
        <v>954869.60603455827</v>
      </c>
      <c r="I1642" s="792">
        <f t="shared" si="106"/>
        <v>0</v>
      </c>
      <c r="J1642" s="792"/>
      <c r="K1642" s="812"/>
      <c r="L1642" s="796"/>
      <c r="M1642" s="812"/>
      <c r="N1642" s="796"/>
      <c r="O1642" s="796"/>
    </row>
    <row r="1643" spans="3:15">
      <c r="C1643" s="788">
        <f>IF(D1625="","-",+C1642+1)</f>
        <v>2027</v>
      </c>
      <c r="D1643" s="736">
        <f t="shared" si="102"/>
        <v>5047386.5142857181</v>
      </c>
      <c r="E1643" s="789">
        <f t="shared" si="107"/>
        <v>210307.77142857143</v>
      </c>
      <c r="F1643" s="736">
        <f t="shared" si="103"/>
        <v>4837078.742857147</v>
      </c>
      <c r="G1643" s="794">
        <f t="shared" si="104"/>
        <v>924479.32707104855</v>
      </c>
      <c r="H1643" s="795">
        <f t="shared" si="105"/>
        <v>924479.32707104855</v>
      </c>
      <c r="I1643" s="792">
        <f t="shared" si="106"/>
        <v>0</v>
      </c>
      <c r="J1643" s="792"/>
      <c r="K1643" s="812"/>
      <c r="L1643" s="796"/>
      <c r="M1643" s="812"/>
      <c r="N1643" s="797"/>
      <c r="O1643" s="796"/>
    </row>
    <row r="1644" spans="3:15">
      <c r="C1644" s="788">
        <f>IF(D1625="","-",+C1643+1)</f>
        <v>2028</v>
      </c>
      <c r="D1644" s="736">
        <f t="shared" si="102"/>
        <v>4837078.742857147</v>
      </c>
      <c r="E1644" s="789">
        <f t="shared" si="107"/>
        <v>210307.77142857143</v>
      </c>
      <c r="F1644" s="736">
        <f t="shared" si="103"/>
        <v>4626770.9714285759</v>
      </c>
      <c r="G1644" s="794">
        <f t="shared" si="104"/>
        <v>894089.04810753907</v>
      </c>
      <c r="H1644" s="795">
        <f t="shared" si="105"/>
        <v>894089.04810753907</v>
      </c>
      <c r="I1644" s="792">
        <f t="shared" si="106"/>
        <v>0</v>
      </c>
      <c r="J1644" s="792"/>
      <c r="K1644" s="812"/>
      <c r="L1644" s="796"/>
      <c r="M1644" s="812"/>
      <c r="N1644" s="796"/>
      <c r="O1644" s="796"/>
    </row>
    <row r="1645" spans="3:15">
      <c r="C1645" s="788">
        <f>IF(D1625="","-",+C1644+1)</f>
        <v>2029</v>
      </c>
      <c r="D1645" s="736">
        <f t="shared" si="102"/>
        <v>4626770.9714285759</v>
      </c>
      <c r="E1645" s="789">
        <f t="shared" si="107"/>
        <v>210307.77142857143</v>
      </c>
      <c r="F1645" s="736">
        <f t="shared" si="103"/>
        <v>4416463.2000000048</v>
      </c>
      <c r="G1645" s="794">
        <f t="shared" si="104"/>
        <v>863698.76914402936</v>
      </c>
      <c r="H1645" s="795">
        <f t="shared" si="105"/>
        <v>863698.76914402936</v>
      </c>
      <c r="I1645" s="792">
        <f t="shared" si="106"/>
        <v>0</v>
      </c>
      <c r="J1645" s="792"/>
      <c r="K1645" s="812"/>
      <c r="L1645" s="796"/>
      <c r="M1645" s="812"/>
      <c r="N1645" s="796"/>
      <c r="O1645" s="796"/>
    </row>
    <row r="1646" spans="3:15">
      <c r="C1646" s="788">
        <f>IF(D1625="","-",+C1645+1)</f>
        <v>2030</v>
      </c>
      <c r="D1646" s="736">
        <f t="shared" si="102"/>
        <v>4416463.2000000048</v>
      </c>
      <c r="E1646" s="789">
        <f t="shared" si="107"/>
        <v>210307.77142857143</v>
      </c>
      <c r="F1646" s="736">
        <f t="shared" si="103"/>
        <v>4206155.4285714338</v>
      </c>
      <c r="G1646" s="794">
        <f t="shared" si="104"/>
        <v>833308.49018051988</v>
      </c>
      <c r="H1646" s="795">
        <f t="shared" si="105"/>
        <v>833308.49018051988</v>
      </c>
      <c r="I1646" s="792">
        <f t="shared" si="106"/>
        <v>0</v>
      </c>
      <c r="J1646" s="792"/>
      <c r="K1646" s="812"/>
      <c r="L1646" s="796"/>
      <c r="M1646" s="812"/>
      <c r="N1646" s="796"/>
      <c r="O1646" s="796"/>
    </row>
    <row r="1647" spans="3:15">
      <c r="C1647" s="788">
        <f>IF(D1625="","-",+C1646+1)</f>
        <v>2031</v>
      </c>
      <c r="D1647" s="736">
        <f t="shared" si="102"/>
        <v>4206155.4285714338</v>
      </c>
      <c r="E1647" s="789">
        <f t="shared" si="107"/>
        <v>210307.77142857143</v>
      </c>
      <c r="F1647" s="736">
        <f t="shared" si="103"/>
        <v>3995847.6571428622</v>
      </c>
      <c r="G1647" s="794">
        <f t="shared" si="104"/>
        <v>802918.21121701016</v>
      </c>
      <c r="H1647" s="795">
        <f t="shared" si="105"/>
        <v>802918.21121701016</v>
      </c>
      <c r="I1647" s="792">
        <f t="shared" si="106"/>
        <v>0</v>
      </c>
      <c r="J1647" s="792"/>
      <c r="K1647" s="812"/>
      <c r="L1647" s="796"/>
      <c r="M1647" s="812"/>
      <c r="N1647" s="796"/>
      <c r="O1647" s="796"/>
    </row>
    <row r="1648" spans="3:15">
      <c r="C1648" s="788">
        <f>IF(D1625="","-",+C1647+1)</f>
        <v>2032</v>
      </c>
      <c r="D1648" s="736">
        <f t="shared" si="102"/>
        <v>3995847.6571428622</v>
      </c>
      <c r="E1648" s="789">
        <f t="shared" si="107"/>
        <v>210307.77142857143</v>
      </c>
      <c r="F1648" s="736">
        <f t="shared" si="103"/>
        <v>3785539.8857142907</v>
      </c>
      <c r="G1648" s="794">
        <f t="shared" si="104"/>
        <v>772527.93225350056</v>
      </c>
      <c r="H1648" s="795">
        <f t="shared" si="105"/>
        <v>772527.93225350056</v>
      </c>
      <c r="I1648" s="792">
        <f t="shared" si="106"/>
        <v>0</v>
      </c>
      <c r="J1648" s="792"/>
      <c r="K1648" s="812"/>
      <c r="L1648" s="796"/>
      <c r="M1648" s="812"/>
      <c r="N1648" s="796"/>
      <c r="O1648" s="796"/>
    </row>
    <row r="1649" spans="3:15">
      <c r="C1649" s="788">
        <f>IF(D1625="","-",+C1648+1)</f>
        <v>2033</v>
      </c>
      <c r="D1649" s="736">
        <f t="shared" si="102"/>
        <v>3785539.8857142907</v>
      </c>
      <c r="E1649" s="789">
        <f t="shared" si="107"/>
        <v>210307.77142857143</v>
      </c>
      <c r="F1649" s="736">
        <f t="shared" si="103"/>
        <v>3575232.1142857191</v>
      </c>
      <c r="G1649" s="794">
        <f t="shared" si="104"/>
        <v>742137.65328999085</v>
      </c>
      <c r="H1649" s="795">
        <f t="shared" si="105"/>
        <v>742137.65328999085</v>
      </c>
      <c r="I1649" s="792">
        <f t="shared" si="106"/>
        <v>0</v>
      </c>
      <c r="J1649" s="792"/>
      <c r="K1649" s="812"/>
      <c r="L1649" s="796"/>
      <c r="M1649" s="812"/>
      <c r="N1649" s="796"/>
      <c r="O1649" s="796"/>
    </row>
    <row r="1650" spans="3:15">
      <c r="C1650" s="788">
        <f>IF(D1625="","-",+C1649+1)</f>
        <v>2034</v>
      </c>
      <c r="D1650" s="736">
        <f t="shared" si="102"/>
        <v>3575232.1142857191</v>
      </c>
      <c r="E1650" s="789">
        <f t="shared" si="107"/>
        <v>210307.77142857143</v>
      </c>
      <c r="F1650" s="736">
        <f t="shared" si="103"/>
        <v>3364924.3428571476</v>
      </c>
      <c r="G1650" s="794">
        <f t="shared" si="104"/>
        <v>711747.37432648125</v>
      </c>
      <c r="H1650" s="795">
        <f t="shared" si="105"/>
        <v>711747.37432648125</v>
      </c>
      <c r="I1650" s="792">
        <f t="shared" si="106"/>
        <v>0</v>
      </c>
      <c r="J1650" s="792"/>
      <c r="K1650" s="812"/>
      <c r="L1650" s="796"/>
      <c r="M1650" s="812"/>
      <c r="N1650" s="796"/>
      <c r="O1650" s="796"/>
    </row>
    <row r="1651" spans="3:15">
      <c r="C1651" s="788">
        <f>IF(D1625="","-",+C1650+1)</f>
        <v>2035</v>
      </c>
      <c r="D1651" s="736">
        <f t="shared" si="102"/>
        <v>3364924.3428571476</v>
      </c>
      <c r="E1651" s="789">
        <f t="shared" si="107"/>
        <v>210307.77142857143</v>
      </c>
      <c r="F1651" s="736">
        <f t="shared" si="103"/>
        <v>3154616.571428576</v>
      </c>
      <c r="G1651" s="794">
        <f t="shared" si="104"/>
        <v>681357.09536297154</v>
      </c>
      <c r="H1651" s="795">
        <f t="shared" si="105"/>
        <v>681357.09536297154</v>
      </c>
      <c r="I1651" s="792">
        <f t="shared" si="106"/>
        <v>0</v>
      </c>
      <c r="J1651" s="792"/>
      <c r="K1651" s="812"/>
      <c r="L1651" s="796"/>
      <c r="M1651" s="812"/>
      <c r="N1651" s="796"/>
      <c r="O1651" s="796"/>
    </row>
    <row r="1652" spans="3:15">
      <c r="C1652" s="788">
        <f>IF(D1625="","-",+C1651+1)</f>
        <v>2036</v>
      </c>
      <c r="D1652" s="736">
        <f t="shared" si="102"/>
        <v>3154616.571428576</v>
      </c>
      <c r="E1652" s="789">
        <f t="shared" si="107"/>
        <v>210307.77142857143</v>
      </c>
      <c r="F1652" s="736">
        <f t="shared" si="103"/>
        <v>2944308.8000000045</v>
      </c>
      <c r="G1652" s="794">
        <f t="shared" si="104"/>
        <v>650966.81639946194</v>
      </c>
      <c r="H1652" s="795">
        <f t="shared" si="105"/>
        <v>650966.81639946194</v>
      </c>
      <c r="I1652" s="792">
        <f t="shared" si="106"/>
        <v>0</v>
      </c>
      <c r="J1652" s="792"/>
      <c r="K1652" s="812"/>
      <c r="L1652" s="796"/>
      <c r="M1652" s="812"/>
      <c r="N1652" s="796"/>
      <c r="O1652" s="796"/>
    </row>
    <row r="1653" spans="3:15">
      <c r="C1653" s="788">
        <f>IF(D1625="","-",+C1652+1)</f>
        <v>2037</v>
      </c>
      <c r="D1653" s="736">
        <f t="shared" si="102"/>
        <v>2944308.8000000045</v>
      </c>
      <c r="E1653" s="789">
        <f t="shared" si="107"/>
        <v>210307.77142857143</v>
      </c>
      <c r="F1653" s="736">
        <f t="shared" si="103"/>
        <v>2734001.0285714329</v>
      </c>
      <c r="G1653" s="794">
        <f t="shared" si="104"/>
        <v>620576.53743595222</v>
      </c>
      <c r="H1653" s="795">
        <f t="shared" si="105"/>
        <v>620576.53743595222</v>
      </c>
      <c r="I1653" s="792">
        <f t="shared" si="106"/>
        <v>0</v>
      </c>
      <c r="J1653" s="792"/>
      <c r="K1653" s="812"/>
      <c r="L1653" s="796"/>
      <c r="M1653" s="812"/>
      <c r="N1653" s="796"/>
      <c r="O1653" s="796"/>
    </row>
    <row r="1654" spans="3:15">
      <c r="C1654" s="788">
        <f>IF(D1625="","-",+C1653+1)</f>
        <v>2038</v>
      </c>
      <c r="D1654" s="736">
        <f t="shared" si="102"/>
        <v>2734001.0285714329</v>
      </c>
      <c r="E1654" s="789">
        <f t="shared" si="107"/>
        <v>210307.77142857143</v>
      </c>
      <c r="F1654" s="736">
        <f t="shared" si="103"/>
        <v>2523693.2571428614</v>
      </c>
      <c r="G1654" s="794">
        <f t="shared" si="104"/>
        <v>590186.25847244263</v>
      </c>
      <c r="H1654" s="795">
        <f t="shared" si="105"/>
        <v>590186.25847244263</v>
      </c>
      <c r="I1654" s="792">
        <f t="shared" si="106"/>
        <v>0</v>
      </c>
      <c r="J1654" s="792"/>
      <c r="K1654" s="812"/>
      <c r="L1654" s="796"/>
      <c r="M1654" s="812"/>
      <c r="N1654" s="796"/>
      <c r="O1654" s="796"/>
    </row>
    <row r="1655" spans="3:15">
      <c r="C1655" s="788">
        <f>IF(D1625="","-",+C1654+1)</f>
        <v>2039</v>
      </c>
      <c r="D1655" s="736">
        <f t="shared" si="102"/>
        <v>2523693.2571428614</v>
      </c>
      <c r="E1655" s="789">
        <f t="shared" si="107"/>
        <v>210307.77142857143</v>
      </c>
      <c r="F1655" s="736">
        <f t="shared" si="103"/>
        <v>2313385.4857142898</v>
      </c>
      <c r="G1655" s="794">
        <f t="shared" si="104"/>
        <v>559795.97950893291</v>
      </c>
      <c r="H1655" s="795">
        <f t="shared" si="105"/>
        <v>559795.97950893291</v>
      </c>
      <c r="I1655" s="792">
        <f t="shared" si="106"/>
        <v>0</v>
      </c>
      <c r="J1655" s="792"/>
      <c r="K1655" s="812"/>
      <c r="L1655" s="796"/>
      <c r="M1655" s="812"/>
      <c r="N1655" s="796"/>
      <c r="O1655" s="796"/>
    </row>
    <row r="1656" spans="3:15">
      <c r="C1656" s="788">
        <f>IF(D1625="","-",+C1655+1)</f>
        <v>2040</v>
      </c>
      <c r="D1656" s="736">
        <f t="shared" si="102"/>
        <v>2313385.4857142898</v>
      </c>
      <c r="E1656" s="789">
        <f t="shared" si="107"/>
        <v>210307.77142857143</v>
      </c>
      <c r="F1656" s="736">
        <f t="shared" si="103"/>
        <v>2103077.7142857183</v>
      </c>
      <c r="G1656" s="794">
        <f t="shared" si="104"/>
        <v>529405.70054542331</v>
      </c>
      <c r="H1656" s="795">
        <f t="shared" si="105"/>
        <v>529405.70054542331</v>
      </c>
      <c r="I1656" s="792">
        <f t="shared" si="106"/>
        <v>0</v>
      </c>
      <c r="J1656" s="792"/>
      <c r="K1656" s="812"/>
      <c r="L1656" s="796"/>
      <c r="M1656" s="812"/>
      <c r="N1656" s="796"/>
      <c r="O1656" s="796"/>
    </row>
    <row r="1657" spans="3:15">
      <c r="C1657" s="788">
        <f>IF(D1625="","-",+C1656+1)</f>
        <v>2041</v>
      </c>
      <c r="D1657" s="736">
        <f t="shared" si="102"/>
        <v>2103077.7142857183</v>
      </c>
      <c r="E1657" s="789">
        <f t="shared" si="107"/>
        <v>210307.77142857143</v>
      </c>
      <c r="F1657" s="736">
        <f t="shared" si="103"/>
        <v>1892769.9428571467</v>
      </c>
      <c r="G1657" s="794">
        <f t="shared" si="104"/>
        <v>499015.4215819136</v>
      </c>
      <c r="H1657" s="795">
        <f t="shared" si="105"/>
        <v>499015.4215819136</v>
      </c>
      <c r="I1657" s="792">
        <f t="shared" si="106"/>
        <v>0</v>
      </c>
      <c r="J1657" s="792"/>
      <c r="K1657" s="812"/>
      <c r="L1657" s="796"/>
      <c r="M1657" s="812"/>
      <c r="N1657" s="796"/>
      <c r="O1657" s="796"/>
    </row>
    <row r="1658" spans="3:15">
      <c r="C1658" s="788">
        <f>IF(D1625="","-",+C1657+1)</f>
        <v>2042</v>
      </c>
      <c r="D1658" s="736">
        <f t="shared" si="102"/>
        <v>1892769.9428571467</v>
      </c>
      <c r="E1658" s="789">
        <f t="shared" si="107"/>
        <v>210307.77142857143</v>
      </c>
      <c r="F1658" s="736">
        <f t="shared" si="103"/>
        <v>1682462.1714285752</v>
      </c>
      <c r="G1658" s="794">
        <f t="shared" si="104"/>
        <v>468625.14261840394</v>
      </c>
      <c r="H1658" s="795">
        <f t="shared" si="105"/>
        <v>468625.14261840394</v>
      </c>
      <c r="I1658" s="792">
        <f t="shared" si="106"/>
        <v>0</v>
      </c>
      <c r="J1658" s="792"/>
      <c r="K1658" s="812"/>
      <c r="L1658" s="796"/>
      <c r="M1658" s="812"/>
      <c r="N1658" s="796"/>
      <c r="O1658" s="796"/>
    </row>
    <row r="1659" spans="3:15">
      <c r="C1659" s="788">
        <f>IF(D1625="","-",+C1658+1)</f>
        <v>2043</v>
      </c>
      <c r="D1659" s="736">
        <f t="shared" si="102"/>
        <v>1682462.1714285752</v>
      </c>
      <c r="E1659" s="789">
        <f t="shared" si="107"/>
        <v>210307.77142857143</v>
      </c>
      <c r="F1659" s="736">
        <f t="shared" si="103"/>
        <v>1472154.4000000036</v>
      </c>
      <c r="G1659" s="790">
        <f t="shared" si="104"/>
        <v>438234.86365489429</v>
      </c>
      <c r="H1659" s="795">
        <f t="shared" si="105"/>
        <v>438234.86365489429</v>
      </c>
      <c r="I1659" s="792">
        <f t="shared" si="106"/>
        <v>0</v>
      </c>
      <c r="J1659" s="792"/>
      <c r="K1659" s="812"/>
      <c r="L1659" s="796"/>
      <c r="M1659" s="812"/>
      <c r="N1659" s="796"/>
      <c r="O1659" s="796"/>
    </row>
    <row r="1660" spans="3:15">
      <c r="C1660" s="788">
        <f>IF(D1625="","-",+C1659+1)</f>
        <v>2044</v>
      </c>
      <c r="D1660" s="736">
        <f t="shared" si="102"/>
        <v>1472154.4000000036</v>
      </c>
      <c r="E1660" s="789">
        <f t="shared" si="107"/>
        <v>210307.77142857143</v>
      </c>
      <c r="F1660" s="736">
        <f t="shared" si="103"/>
        <v>1261846.6285714321</v>
      </c>
      <c r="G1660" s="794">
        <f t="shared" si="104"/>
        <v>407844.58469138463</v>
      </c>
      <c r="H1660" s="795">
        <f t="shared" si="105"/>
        <v>407844.58469138463</v>
      </c>
      <c r="I1660" s="792">
        <f t="shared" si="106"/>
        <v>0</v>
      </c>
      <c r="J1660" s="792"/>
      <c r="K1660" s="812"/>
      <c r="L1660" s="796"/>
      <c r="M1660" s="812"/>
      <c r="N1660" s="796"/>
      <c r="O1660" s="796"/>
    </row>
    <row r="1661" spans="3:15">
      <c r="C1661" s="788">
        <f>IF(D1625="","-",+C1660+1)</f>
        <v>2045</v>
      </c>
      <c r="D1661" s="736">
        <f t="shared" si="102"/>
        <v>1261846.6285714321</v>
      </c>
      <c r="E1661" s="789">
        <f t="shared" si="107"/>
        <v>210307.77142857143</v>
      </c>
      <c r="F1661" s="736">
        <f t="shared" si="103"/>
        <v>1051538.8571428605</v>
      </c>
      <c r="G1661" s="794">
        <f t="shared" si="104"/>
        <v>377454.30572787498</v>
      </c>
      <c r="H1661" s="795">
        <f t="shared" si="105"/>
        <v>377454.30572787498</v>
      </c>
      <c r="I1661" s="792">
        <f t="shared" si="106"/>
        <v>0</v>
      </c>
      <c r="J1661" s="792"/>
      <c r="K1661" s="812"/>
      <c r="L1661" s="796"/>
      <c r="M1661" s="812"/>
      <c r="N1661" s="796"/>
      <c r="O1661" s="796"/>
    </row>
    <row r="1662" spans="3:15">
      <c r="C1662" s="788">
        <f>IF(D1625="","-",+C1661+1)</f>
        <v>2046</v>
      </c>
      <c r="D1662" s="736">
        <f t="shared" si="102"/>
        <v>1051538.8571428605</v>
      </c>
      <c r="E1662" s="789">
        <f t="shared" si="107"/>
        <v>210307.77142857143</v>
      </c>
      <c r="F1662" s="736">
        <f t="shared" si="103"/>
        <v>841231.0857142891</v>
      </c>
      <c r="G1662" s="794">
        <f t="shared" si="104"/>
        <v>347064.02676436532</v>
      </c>
      <c r="H1662" s="795">
        <f t="shared" si="105"/>
        <v>347064.02676436532</v>
      </c>
      <c r="I1662" s="792">
        <f t="shared" si="106"/>
        <v>0</v>
      </c>
      <c r="J1662" s="792"/>
      <c r="K1662" s="812"/>
      <c r="L1662" s="796"/>
      <c r="M1662" s="812"/>
      <c r="N1662" s="796"/>
      <c r="O1662" s="796"/>
    </row>
    <row r="1663" spans="3:15">
      <c r="C1663" s="788">
        <f>IF(D1625="","-",+C1662+1)</f>
        <v>2047</v>
      </c>
      <c r="D1663" s="736">
        <f t="shared" si="102"/>
        <v>841231.0857142891</v>
      </c>
      <c r="E1663" s="789">
        <f t="shared" si="107"/>
        <v>210307.77142857143</v>
      </c>
      <c r="F1663" s="736">
        <f t="shared" si="103"/>
        <v>630923.31428571767</v>
      </c>
      <c r="G1663" s="794">
        <f t="shared" si="104"/>
        <v>316673.74780085566</v>
      </c>
      <c r="H1663" s="795">
        <f t="shared" si="105"/>
        <v>316673.74780085566</v>
      </c>
      <c r="I1663" s="792">
        <f t="shared" si="106"/>
        <v>0</v>
      </c>
      <c r="J1663" s="792"/>
      <c r="K1663" s="812"/>
      <c r="L1663" s="796"/>
      <c r="M1663" s="812"/>
      <c r="N1663" s="796"/>
      <c r="O1663" s="796"/>
    </row>
    <row r="1664" spans="3:15">
      <c r="C1664" s="788">
        <f>IF(D1625="","-",+C1663+1)</f>
        <v>2048</v>
      </c>
      <c r="D1664" s="736">
        <f t="shared" si="102"/>
        <v>630923.31428571767</v>
      </c>
      <c r="E1664" s="789">
        <f t="shared" si="107"/>
        <v>210307.77142857143</v>
      </c>
      <c r="F1664" s="736">
        <f t="shared" si="103"/>
        <v>420615.54285714624</v>
      </c>
      <c r="G1664" s="794">
        <f t="shared" si="104"/>
        <v>286283.46883734601</v>
      </c>
      <c r="H1664" s="795">
        <f t="shared" si="105"/>
        <v>286283.46883734601</v>
      </c>
      <c r="I1664" s="792">
        <f t="shared" si="106"/>
        <v>0</v>
      </c>
      <c r="J1664" s="792"/>
      <c r="K1664" s="812"/>
      <c r="L1664" s="796"/>
      <c r="M1664" s="812"/>
      <c r="N1664" s="796"/>
      <c r="O1664" s="796"/>
    </row>
    <row r="1665" spans="3:15">
      <c r="C1665" s="788">
        <f>IF(D1625="","-",+C1664+1)</f>
        <v>2049</v>
      </c>
      <c r="D1665" s="736">
        <f t="shared" si="102"/>
        <v>420615.54285714624</v>
      </c>
      <c r="E1665" s="789">
        <f t="shared" si="107"/>
        <v>210307.77142857143</v>
      </c>
      <c r="F1665" s="736">
        <f t="shared" si="103"/>
        <v>210307.77142857481</v>
      </c>
      <c r="G1665" s="794">
        <f t="shared" si="104"/>
        <v>255893.18987383638</v>
      </c>
      <c r="H1665" s="795">
        <f t="shared" si="105"/>
        <v>255893.18987383638</v>
      </c>
      <c r="I1665" s="792">
        <f t="shared" si="106"/>
        <v>0</v>
      </c>
      <c r="J1665" s="792"/>
      <c r="K1665" s="812"/>
      <c r="L1665" s="796"/>
      <c r="M1665" s="812"/>
      <c r="N1665" s="796"/>
      <c r="O1665" s="796"/>
    </row>
    <row r="1666" spans="3:15">
      <c r="C1666" s="788">
        <f>IF(D1625="","-",+C1665+1)</f>
        <v>2050</v>
      </c>
      <c r="D1666" s="736">
        <f t="shared" si="102"/>
        <v>210307.77142857481</v>
      </c>
      <c r="E1666" s="789">
        <f t="shared" si="107"/>
        <v>210307.77142857143</v>
      </c>
      <c r="F1666" s="736">
        <f t="shared" si="103"/>
        <v>3.3760443329811096E-9</v>
      </c>
      <c r="G1666" s="794">
        <f t="shared" si="104"/>
        <v>225502.91091032675</v>
      </c>
      <c r="H1666" s="795">
        <f t="shared" si="105"/>
        <v>225502.91091032675</v>
      </c>
      <c r="I1666" s="792">
        <f t="shared" si="106"/>
        <v>0</v>
      </c>
      <c r="J1666" s="792"/>
      <c r="K1666" s="812"/>
      <c r="L1666" s="796"/>
      <c r="M1666" s="812"/>
      <c r="N1666" s="796"/>
      <c r="O1666" s="796"/>
    </row>
    <row r="1667" spans="3:15">
      <c r="C1667" s="788">
        <f>IF(D1625="","-",+C1666+1)</f>
        <v>2051</v>
      </c>
      <c r="D1667" s="736">
        <f t="shared" si="102"/>
        <v>3.3760443329811096E-9</v>
      </c>
      <c r="E1667" s="789">
        <f t="shared" si="107"/>
        <v>3.3760443329811096E-9</v>
      </c>
      <c r="F1667" s="736">
        <f t="shared" si="103"/>
        <v>0</v>
      </c>
      <c r="G1667" s="794">
        <f t="shared" si="104"/>
        <v>3.6199700052839953E-9</v>
      </c>
      <c r="H1667" s="795">
        <f t="shared" si="105"/>
        <v>3.6199700052839953E-9</v>
      </c>
      <c r="I1667" s="792">
        <f t="shared" si="106"/>
        <v>0</v>
      </c>
      <c r="J1667" s="792"/>
      <c r="K1667" s="812"/>
      <c r="L1667" s="796"/>
      <c r="M1667" s="812"/>
      <c r="N1667" s="796"/>
      <c r="O1667" s="796"/>
    </row>
    <row r="1668" spans="3:15">
      <c r="C1668" s="788">
        <f>IF(D1625="","-",+C1667+1)</f>
        <v>2052</v>
      </c>
      <c r="D1668" s="736">
        <f t="shared" si="102"/>
        <v>0</v>
      </c>
      <c r="E1668" s="789">
        <f t="shared" si="107"/>
        <v>0</v>
      </c>
      <c r="F1668" s="736">
        <f t="shared" si="103"/>
        <v>0</v>
      </c>
      <c r="G1668" s="794">
        <f t="shared" si="104"/>
        <v>0</v>
      </c>
      <c r="H1668" s="795">
        <f t="shared" si="105"/>
        <v>0</v>
      </c>
      <c r="I1668" s="792">
        <f t="shared" si="106"/>
        <v>0</v>
      </c>
      <c r="J1668" s="792"/>
      <c r="K1668" s="812"/>
      <c r="L1668" s="796"/>
      <c r="M1668" s="812"/>
      <c r="N1668" s="796"/>
      <c r="O1668" s="796"/>
    </row>
    <row r="1669" spans="3:15">
      <c r="C1669" s="788">
        <f>IF(D1625="","-",+C1668+1)</f>
        <v>2053</v>
      </c>
      <c r="D1669" s="736">
        <f t="shared" si="102"/>
        <v>0</v>
      </c>
      <c r="E1669" s="789">
        <f t="shared" si="107"/>
        <v>0</v>
      </c>
      <c r="F1669" s="736">
        <f t="shared" si="103"/>
        <v>0</v>
      </c>
      <c r="G1669" s="794">
        <f t="shared" si="104"/>
        <v>0</v>
      </c>
      <c r="H1669" s="795">
        <f t="shared" si="105"/>
        <v>0</v>
      </c>
      <c r="I1669" s="792">
        <f t="shared" si="106"/>
        <v>0</v>
      </c>
      <c r="J1669" s="792"/>
      <c r="K1669" s="812"/>
      <c r="L1669" s="796"/>
      <c r="M1669" s="812"/>
      <c r="N1669" s="796"/>
      <c r="O1669" s="796"/>
    </row>
    <row r="1670" spans="3:15">
      <c r="C1670" s="788">
        <f>IF(D1625="","-",+C1669+1)</f>
        <v>2054</v>
      </c>
      <c r="D1670" s="736">
        <f t="shared" si="102"/>
        <v>0</v>
      </c>
      <c r="E1670" s="789">
        <f t="shared" si="107"/>
        <v>0</v>
      </c>
      <c r="F1670" s="736">
        <f t="shared" si="103"/>
        <v>0</v>
      </c>
      <c r="G1670" s="794">
        <f t="shared" si="104"/>
        <v>0</v>
      </c>
      <c r="H1670" s="795">
        <f t="shared" si="105"/>
        <v>0</v>
      </c>
      <c r="I1670" s="792">
        <f t="shared" si="106"/>
        <v>0</v>
      </c>
      <c r="J1670" s="792"/>
      <c r="K1670" s="812"/>
      <c r="L1670" s="796"/>
      <c r="M1670" s="812"/>
      <c r="N1670" s="796"/>
      <c r="O1670" s="796"/>
    </row>
    <row r="1671" spans="3:15">
      <c r="C1671" s="788">
        <f>IF(D1625="","-",+C1670+1)</f>
        <v>2055</v>
      </c>
      <c r="D1671" s="736">
        <f t="shared" si="102"/>
        <v>0</v>
      </c>
      <c r="E1671" s="789">
        <f t="shared" si="107"/>
        <v>0</v>
      </c>
      <c r="F1671" s="736">
        <f t="shared" si="103"/>
        <v>0</v>
      </c>
      <c r="G1671" s="794">
        <f t="shared" si="104"/>
        <v>0</v>
      </c>
      <c r="H1671" s="795">
        <f t="shared" si="105"/>
        <v>0</v>
      </c>
      <c r="I1671" s="792">
        <f t="shared" si="106"/>
        <v>0</v>
      </c>
      <c r="J1671" s="792"/>
      <c r="K1671" s="812"/>
      <c r="L1671" s="796"/>
      <c r="M1671" s="812"/>
      <c r="N1671" s="796"/>
      <c r="O1671" s="796"/>
    </row>
    <row r="1672" spans="3:15">
      <c r="C1672" s="788">
        <f>IF(D1625="","-",+C1671+1)</f>
        <v>2056</v>
      </c>
      <c r="D1672" s="736">
        <f t="shared" si="102"/>
        <v>0</v>
      </c>
      <c r="E1672" s="789">
        <f t="shared" si="107"/>
        <v>0</v>
      </c>
      <c r="F1672" s="736">
        <f t="shared" si="103"/>
        <v>0</v>
      </c>
      <c r="G1672" s="794">
        <f t="shared" si="104"/>
        <v>0</v>
      </c>
      <c r="H1672" s="795">
        <f t="shared" si="105"/>
        <v>0</v>
      </c>
      <c r="I1672" s="792">
        <f t="shared" si="106"/>
        <v>0</v>
      </c>
      <c r="J1672" s="792"/>
      <c r="K1672" s="812"/>
      <c r="L1672" s="796"/>
      <c r="M1672" s="812"/>
      <c r="N1672" s="796"/>
      <c r="O1672" s="796"/>
    </row>
    <row r="1673" spans="3:15">
      <c r="C1673" s="788">
        <f>IF(D1625="","-",+C1672+1)</f>
        <v>2057</v>
      </c>
      <c r="D1673" s="736">
        <f t="shared" si="102"/>
        <v>0</v>
      </c>
      <c r="E1673" s="789">
        <f t="shared" si="107"/>
        <v>0</v>
      </c>
      <c r="F1673" s="736">
        <f t="shared" si="103"/>
        <v>0</v>
      </c>
      <c r="G1673" s="794">
        <f t="shared" si="104"/>
        <v>0</v>
      </c>
      <c r="H1673" s="795">
        <f t="shared" si="105"/>
        <v>0</v>
      </c>
      <c r="I1673" s="792">
        <f t="shared" si="106"/>
        <v>0</v>
      </c>
      <c r="J1673" s="792"/>
      <c r="K1673" s="812"/>
      <c r="L1673" s="796"/>
      <c r="M1673" s="812"/>
      <c r="N1673" s="796"/>
      <c r="O1673" s="796"/>
    </row>
    <row r="1674" spans="3:15">
      <c r="C1674" s="788">
        <f>IF(D1625="","-",+C1673+1)</f>
        <v>2058</v>
      </c>
      <c r="D1674" s="736">
        <f t="shared" si="102"/>
        <v>0</v>
      </c>
      <c r="E1674" s="789">
        <f t="shared" si="107"/>
        <v>0</v>
      </c>
      <c r="F1674" s="736">
        <f t="shared" si="103"/>
        <v>0</v>
      </c>
      <c r="G1674" s="794">
        <f t="shared" si="104"/>
        <v>0</v>
      </c>
      <c r="H1674" s="795">
        <f t="shared" si="105"/>
        <v>0</v>
      </c>
      <c r="I1674" s="792">
        <f t="shared" si="106"/>
        <v>0</v>
      </c>
      <c r="J1674" s="792"/>
      <c r="K1674" s="812"/>
      <c r="L1674" s="796"/>
      <c r="M1674" s="812"/>
      <c r="N1674" s="796"/>
      <c r="O1674" s="796"/>
    </row>
    <row r="1675" spans="3:15">
      <c r="C1675" s="788">
        <f>IF(D1625="","-",+C1674+1)</f>
        <v>2059</v>
      </c>
      <c r="D1675" s="736">
        <f t="shared" si="102"/>
        <v>0</v>
      </c>
      <c r="E1675" s="789">
        <f t="shared" si="107"/>
        <v>0</v>
      </c>
      <c r="F1675" s="736">
        <f t="shared" si="103"/>
        <v>0</v>
      </c>
      <c r="G1675" s="794">
        <f t="shared" si="104"/>
        <v>0</v>
      </c>
      <c r="H1675" s="795">
        <f t="shared" si="105"/>
        <v>0</v>
      </c>
      <c r="I1675" s="792">
        <f t="shared" si="106"/>
        <v>0</v>
      </c>
      <c r="J1675" s="792"/>
      <c r="K1675" s="812"/>
      <c r="L1675" s="796"/>
      <c r="M1675" s="812"/>
      <c r="N1675" s="796"/>
      <c r="O1675" s="796"/>
    </row>
    <row r="1676" spans="3:15">
      <c r="C1676" s="788">
        <f>IF(D1625="","-",+C1675+1)</f>
        <v>2060</v>
      </c>
      <c r="D1676" s="736">
        <f t="shared" si="102"/>
        <v>0</v>
      </c>
      <c r="E1676" s="789">
        <f t="shared" si="107"/>
        <v>0</v>
      </c>
      <c r="F1676" s="736">
        <f t="shared" si="103"/>
        <v>0</v>
      </c>
      <c r="G1676" s="794">
        <f t="shared" si="104"/>
        <v>0</v>
      </c>
      <c r="H1676" s="795">
        <f t="shared" si="105"/>
        <v>0</v>
      </c>
      <c r="I1676" s="792">
        <f t="shared" si="106"/>
        <v>0</v>
      </c>
      <c r="J1676" s="792"/>
      <c r="K1676" s="812"/>
      <c r="L1676" s="796"/>
      <c r="M1676" s="812"/>
      <c r="N1676" s="796"/>
      <c r="O1676" s="796"/>
    </row>
    <row r="1677" spans="3:15">
      <c r="C1677" s="788">
        <f>IF(D1625="","-",+C1676+1)</f>
        <v>2061</v>
      </c>
      <c r="D1677" s="736">
        <f t="shared" si="102"/>
        <v>0</v>
      </c>
      <c r="E1677" s="789">
        <f t="shared" si="107"/>
        <v>0</v>
      </c>
      <c r="F1677" s="736">
        <f t="shared" si="103"/>
        <v>0</v>
      </c>
      <c r="G1677" s="794">
        <f t="shared" si="104"/>
        <v>0</v>
      </c>
      <c r="H1677" s="795">
        <f t="shared" si="105"/>
        <v>0</v>
      </c>
      <c r="I1677" s="792">
        <f t="shared" si="106"/>
        <v>0</v>
      </c>
      <c r="J1677" s="792"/>
      <c r="K1677" s="812"/>
      <c r="L1677" s="796"/>
      <c r="M1677" s="812"/>
      <c r="N1677" s="796"/>
      <c r="O1677" s="796"/>
    </row>
    <row r="1678" spans="3:15">
      <c r="C1678" s="788">
        <f>IF(D1625="","-",+C1677+1)</f>
        <v>2062</v>
      </c>
      <c r="D1678" s="736">
        <f t="shared" si="102"/>
        <v>0</v>
      </c>
      <c r="E1678" s="789">
        <f t="shared" si="107"/>
        <v>0</v>
      </c>
      <c r="F1678" s="736">
        <f t="shared" si="103"/>
        <v>0</v>
      </c>
      <c r="G1678" s="794">
        <f t="shared" si="104"/>
        <v>0</v>
      </c>
      <c r="H1678" s="795">
        <f t="shared" si="105"/>
        <v>0</v>
      </c>
      <c r="I1678" s="792">
        <f t="shared" si="106"/>
        <v>0</v>
      </c>
      <c r="J1678" s="792"/>
      <c r="K1678" s="812"/>
      <c r="L1678" s="796"/>
      <c r="M1678" s="812"/>
      <c r="N1678" s="796"/>
      <c r="O1678" s="796"/>
    </row>
    <row r="1679" spans="3:15">
      <c r="C1679" s="788">
        <f>IF(D1625="","-",+C1678+1)</f>
        <v>2063</v>
      </c>
      <c r="D1679" s="736">
        <f t="shared" si="102"/>
        <v>0</v>
      </c>
      <c r="E1679" s="789">
        <f t="shared" si="107"/>
        <v>0</v>
      </c>
      <c r="F1679" s="736">
        <f t="shared" si="103"/>
        <v>0</v>
      </c>
      <c r="G1679" s="794">
        <f t="shared" si="104"/>
        <v>0</v>
      </c>
      <c r="H1679" s="795">
        <f t="shared" si="105"/>
        <v>0</v>
      </c>
      <c r="I1679" s="792">
        <f t="shared" si="106"/>
        <v>0</v>
      </c>
      <c r="J1679" s="792"/>
      <c r="K1679" s="812"/>
      <c r="L1679" s="796"/>
      <c r="M1679" s="812"/>
      <c r="N1679" s="796"/>
      <c r="O1679" s="796"/>
    </row>
    <row r="1680" spans="3:15">
      <c r="C1680" s="788">
        <f>IF(D1625="","-",+C1679+1)</f>
        <v>2064</v>
      </c>
      <c r="D1680" s="736">
        <f t="shared" si="102"/>
        <v>0</v>
      </c>
      <c r="E1680" s="789">
        <f t="shared" si="107"/>
        <v>0</v>
      </c>
      <c r="F1680" s="736">
        <f t="shared" si="103"/>
        <v>0</v>
      </c>
      <c r="G1680" s="794">
        <f t="shared" si="104"/>
        <v>0</v>
      </c>
      <c r="H1680" s="795">
        <f t="shared" si="105"/>
        <v>0</v>
      </c>
      <c r="I1680" s="792">
        <f t="shared" si="106"/>
        <v>0</v>
      </c>
      <c r="J1680" s="792"/>
      <c r="K1680" s="812"/>
      <c r="L1680" s="796"/>
      <c r="M1680" s="812"/>
      <c r="N1680" s="796"/>
      <c r="O1680" s="796"/>
    </row>
    <row r="1681" spans="3:15">
      <c r="C1681" s="788">
        <f>IF(D1625="","-",+C1680+1)</f>
        <v>2065</v>
      </c>
      <c r="D1681" s="736">
        <f t="shared" si="102"/>
        <v>0</v>
      </c>
      <c r="E1681" s="789">
        <f t="shared" si="107"/>
        <v>0</v>
      </c>
      <c r="F1681" s="736">
        <f t="shared" si="103"/>
        <v>0</v>
      </c>
      <c r="G1681" s="794">
        <f t="shared" si="104"/>
        <v>0</v>
      </c>
      <c r="H1681" s="795">
        <f t="shared" si="105"/>
        <v>0</v>
      </c>
      <c r="I1681" s="792">
        <f t="shared" si="106"/>
        <v>0</v>
      </c>
      <c r="J1681" s="792"/>
      <c r="K1681" s="812"/>
      <c r="L1681" s="796"/>
      <c r="M1681" s="812"/>
      <c r="N1681" s="796"/>
      <c r="O1681" s="796"/>
    </row>
    <row r="1682" spans="3:15">
      <c r="C1682" s="788">
        <f>IF(D1625="","-",+C1681+1)</f>
        <v>2066</v>
      </c>
      <c r="D1682" s="736">
        <f t="shared" si="102"/>
        <v>0</v>
      </c>
      <c r="E1682" s="789">
        <f t="shared" si="107"/>
        <v>0</v>
      </c>
      <c r="F1682" s="736">
        <f t="shared" si="103"/>
        <v>0</v>
      </c>
      <c r="G1682" s="794">
        <f t="shared" si="104"/>
        <v>0</v>
      </c>
      <c r="H1682" s="795">
        <f t="shared" si="105"/>
        <v>0</v>
      </c>
      <c r="I1682" s="792">
        <f t="shared" si="106"/>
        <v>0</v>
      </c>
      <c r="J1682" s="792"/>
      <c r="K1682" s="812"/>
      <c r="L1682" s="796"/>
      <c r="M1682" s="812"/>
      <c r="N1682" s="796"/>
      <c r="O1682" s="796"/>
    </row>
    <row r="1683" spans="3:15">
      <c r="C1683" s="788">
        <f>IF(D1625="","-",+C1682+1)</f>
        <v>2067</v>
      </c>
      <c r="D1683" s="736">
        <f t="shared" si="102"/>
        <v>0</v>
      </c>
      <c r="E1683" s="789">
        <f t="shared" si="107"/>
        <v>0</v>
      </c>
      <c r="F1683" s="736">
        <f t="shared" si="103"/>
        <v>0</v>
      </c>
      <c r="G1683" s="794">
        <f t="shared" si="104"/>
        <v>0</v>
      </c>
      <c r="H1683" s="795">
        <f t="shared" si="105"/>
        <v>0</v>
      </c>
      <c r="I1683" s="792">
        <f t="shared" si="106"/>
        <v>0</v>
      </c>
      <c r="J1683" s="792"/>
      <c r="K1683" s="812"/>
      <c r="L1683" s="796"/>
      <c r="M1683" s="812"/>
      <c r="N1683" s="796"/>
      <c r="O1683" s="796"/>
    </row>
    <row r="1684" spans="3:15">
      <c r="C1684" s="788">
        <f>IF(D1625="","-",+C1683+1)</f>
        <v>2068</v>
      </c>
      <c r="D1684" s="736">
        <f t="shared" si="102"/>
        <v>0</v>
      </c>
      <c r="E1684" s="789">
        <f t="shared" si="107"/>
        <v>0</v>
      </c>
      <c r="F1684" s="736">
        <f t="shared" si="103"/>
        <v>0</v>
      </c>
      <c r="G1684" s="794">
        <f t="shared" si="104"/>
        <v>0</v>
      </c>
      <c r="H1684" s="795">
        <f t="shared" si="105"/>
        <v>0</v>
      </c>
      <c r="I1684" s="792">
        <f t="shared" si="106"/>
        <v>0</v>
      </c>
      <c r="J1684" s="792"/>
      <c r="K1684" s="812"/>
      <c r="L1684" s="796"/>
      <c r="M1684" s="812"/>
      <c r="N1684" s="796"/>
      <c r="O1684" s="796"/>
    </row>
    <row r="1685" spans="3:15">
      <c r="C1685" s="788">
        <f>IF(D1625="","-",+C1684+1)</f>
        <v>2069</v>
      </c>
      <c r="D1685" s="736">
        <f t="shared" si="102"/>
        <v>0</v>
      </c>
      <c r="E1685" s="789">
        <f t="shared" si="107"/>
        <v>0</v>
      </c>
      <c r="F1685" s="736">
        <f t="shared" si="103"/>
        <v>0</v>
      </c>
      <c r="G1685" s="794">
        <f t="shared" si="104"/>
        <v>0</v>
      </c>
      <c r="H1685" s="795">
        <f t="shared" si="105"/>
        <v>0</v>
      </c>
      <c r="I1685" s="792">
        <f t="shared" si="106"/>
        <v>0</v>
      </c>
      <c r="J1685" s="792"/>
      <c r="K1685" s="812"/>
      <c r="L1685" s="796"/>
      <c r="M1685" s="812"/>
      <c r="N1685" s="796"/>
      <c r="O1685" s="796"/>
    </row>
    <row r="1686" spans="3:15">
      <c r="C1686" s="788">
        <f>IF(D1625="","-",+C1685+1)</f>
        <v>2070</v>
      </c>
      <c r="D1686" s="736">
        <f t="shared" si="102"/>
        <v>0</v>
      </c>
      <c r="E1686" s="789">
        <f t="shared" si="107"/>
        <v>0</v>
      </c>
      <c r="F1686" s="736">
        <f t="shared" si="103"/>
        <v>0</v>
      </c>
      <c r="G1686" s="794">
        <f t="shared" si="104"/>
        <v>0</v>
      </c>
      <c r="H1686" s="795">
        <f t="shared" si="105"/>
        <v>0</v>
      </c>
      <c r="I1686" s="792">
        <f t="shared" si="106"/>
        <v>0</v>
      </c>
      <c r="J1686" s="792"/>
      <c r="K1686" s="812"/>
      <c r="L1686" s="796"/>
      <c r="M1686" s="812"/>
      <c r="N1686" s="796"/>
      <c r="O1686" s="796"/>
    </row>
    <row r="1687" spans="3:15">
      <c r="C1687" s="788">
        <f>IF(D1625="","-",+C1686+1)</f>
        <v>2071</v>
      </c>
      <c r="D1687" s="736">
        <f t="shared" si="102"/>
        <v>0</v>
      </c>
      <c r="E1687" s="789">
        <f t="shared" si="107"/>
        <v>0</v>
      </c>
      <c r="F1687" s="736">
        <f t="shared" si="103"/>
        <v>0</v>
      </c>
      <c r="G1687" s="794">
        <f t="shared" si="104"/>
        <v>0</v>
      </c>
      <c r="H1687" s="795">
        <f t="shared" si="105"/>
        <v>0</v>
      </c>
      <c r="I1687" s="792">
        <f t="shared" si="106"/>
        <v>0</v>
      </c>
      <c r="J1687" s="792"/>
      <c r="K1687" s="812"/>
      <c r="L1687" s="796"/>
      <c r="M1687" s="812"/>
      <c r="N1687" s="796"/>
      <c r="O1687" s="796"/>
    </row>
    <row r="1688" spans="3:15">
      <c r="C1688" s="788">
        <f>IF(D1625="","-",+C1687+1)</f>
        <v>2072</v>
      </c>
      <c r="D1688" s="736">
        <f t="shared" si="102"/>
        <v>0</v>
      </c>
      <c r="E1688" s="789">
        <f t="shared" si="107"/>
        <v>0</v>
      </c>
      <c r="F1688" s="736">
        <f t="shared" si="103"/>
        <v>0</v>
      </c>
      <c r="G1688" s="794">
        <f t="shared" si="104"/>
        <v>0</v>
      </c>
      <c r="H1688" s="795">
        <f t="shared" si="105"/>
        <v>0</v>
      </c>
      <c r="I1688" s="792">
        <f t="shared" si="106"/>
        <v>0</v>
      </c>
      <c r="J1688" s="792"/>
      <c r="K1688" s="812"/>
      <c r="L1688" s="796"/>
      <c r="M1688" s="812"/>
      <c r="N1688" s="796"/>
      <c r="O1688" s="796"/>
    </row>
    <row r="1689" spans="3:15">
      <c r="C1689" s="788">
        <f>IF(D1625="","-",+C1688+1)</f>
        <v>2073</v>
      </c>
      <c r="D1689" s="736">
        <f t="shared" si="102"/>
        <v>0</v>
      </c>
      <c r="E1689" s="789">
        <f t="shared" si="107"/>
        <v>0</v>
      </c>
      <c r="F1689" s="736">
        <f t="shared" si="103"/>
        <v>0</v>
      </c>
      <c r="G1689" s="794">
        <f t="shared" si="104"/>
        <v>0</v>
      </c>
      <c r="H1689" s="795">
        <f t="shared" si="105"/>
        <v>0</v>
      </c>
      <c r="I1689" s="792">
        <f t="shared" si="106"/>
        <v>0</v>
      </c>
      <c r="J1689" s="792"/>
      <c r="K1689" s="812"/>
      <c r="L1689" s="796"/>
      <c r="M1689" s="812"/>
      <c r="N1689" s="796"/>
      <c r="O1689" s="796"/>
    </row>
    <row r="1690" spans="3:15" ht="13.5" thickBot="1">
      <c r="C1690" s="798">
        <f>IF(D1625="","-",+C1689+1)</f>
        <v>2074</v>
      </c>
      <c r="D1690" s="799">
        <f t="shared" si="102"/>
        <v>0</v>
      </c>
      <c r="E1690" s="800">
        <f t="shared" si="107"/>
        <v>0</v>
      </c>
      <c r="F1690" s="799">
        <f t="shared" si="103"/>
        <v>0</v>
      </c>
      <c r="G1690" s="801">
        <f t="shared" si="104"/>
        <v>0</v>
      </c>
      <c r="H1690" s="801">
        <f t="shared" si="105"/>
        <v>0</v>
      </c>
      <c r="I1690" s="802">
        <f t="shared" si="106"/>
        <v>0</v>
      </c>
      <c r="J1690" s="792"/>
      <c r="K1690" s="813"/>
      <c r="L1690" s="803"/>
      <c r="M1690" s="813"/>
      <c r="N1690" s="803"/>
      <c r="O1690" s="803"/>
    </row>
    <row r="1691" spans="3:15">
      <c r="C1691" s="736" t="s">
        <v>83</v>
      </c>
      <c r="D1691" s="730"/>
      <c r="E1691" s="730">
        <f>SUM(E1631:E1690)</f>
        <v>7360772</v>
      </c>
      <c r="F1691" s="730"/>
      <c r="G1691" s="730">
        <f>SUM(G1631:G1690)</f>
        <v>27038477.628872521</v>
      </c>
      <c r="H1691" s="730">
        <f>SUM(H1631:H1690)</f>
        <v>27038477.628872521</v>
      </c>
      <c r="I1691" s="730">
        <f>SUM(I1631:I1690)</f>
        <v>0</v>
      </c>
      <c r="J1691" s="730"/>
      <c r="K1691" s="730"/>
      <c r="L1691" s="730"/>
      <c r="M1691" s="730"/>
      <c r="N1691" s="730"/>
      <c r="O1691" s="313"/>
    </row>
    <row r="1692" spans="3:15">
      <c r="D1692" s="538"/>
      <c r="E1692" s="313"/>
      <c r="F1692" s="313"/>
      <c r="G1692" s="313"/>
      <c r="H1692" s="708"/>
      <c r="I1692" s="708"/>
      <c r="J1692" s="730"/>
      <c r="K1692" s="708"/>
      <c r="L1692" s="708"/>
      <c r="M1692" s="708"/>
      <c r="N1692" s="708"/>
      <c r="O1692" s="313"/>
    </row>
    <row r="1693" spans="3:15">
      <c r="C1693" s="313" t="s">
        <v>13</v>
      </c>
      <c r="D1693" s="538"/>
      <c r="E1693" s="313"/>
      <c r="F1693" s="313"/>
      <c r="G1693" s="313"/>
      <c r="H1693" s="708"/>
      <c r="I1693" s="708"/>
      <c r="J1693" s="730"/>
      <c r="K1693" s="708"/>
      <c r="L1693" s="708"/>
      <c r="M1693" s="708"/>
      <c r="N1693" s="708"/>
      <c r="O1693" s="313"/>
    </row>
    <row r="1694" spans="3:15">
      <c r="C1694" s="313"/>
      <c r="D1694" s="538"/>
      <c r="E1694" s="313"/>
      <c r="F1694" s="313"/>
      <c r="G1694" s="313"/>
      <c r="H1694" s="708"/>
      <c r="I1694" s="708"/>
      <c r="J1694" s="730"/>
      <c r="K1694" s="708"/>
      <c r="L1694" s="708"/>
      <c r="M1694" s="708"/>
      <c r="N1694" s="708"/>
      <c r="O1694" s="313"/>
    </row>
    <row r="1695" spans="3:15">
      <c r="C1695" s="749" t="s">
        <v>14</v>
      </c>
      <c r="D1695" s="736"/>
      <c r="E1695" s="736"/>
      <c r="F1695" s="736"/>
      <c r="G1695" s="730"/>
      <c r="H1695" s="730"/>
      <c r="I1695" s="804"/>
      <c r="J1695" s="804"/>
      <c r="K1695" s="804"/>
      <c r="L1695" s="804"/>
      <c r="M1695" s="804"/>
      <c r="N1695" s="804"/>
      <c r="O1695" s="313"/>
    </row>
    <row r="1696" spans="3:15">
      <c r="C1696" s="735" t="s">
        <v>263</v>
      </c>
      <c r="D1696" s="736"/>
      <c r="E1696" s="736"/>
      <c r="F1696" s="736"/>
      <c r="G1696" s="730"/>
      <c r="H1696" s="730"/>
      <c r="I1696" s="804"/>
      <c r="J1696" s="804"/>
      <c r="K1696" s="804"/>
      <c r="L1696" s="804"/>
      <c r="M1696" s="804"/>
      <c r="N1696" s="804"/>
      <c r="O1696" s="313"/>
    </row>
    <row r="1697" spans="1:16">
      <c r="C1697" s="735" t="s">
        <v>84</v>
      </c>
      <c r="D1697" s="736"/>
      <c r="E1697" s="736"/>
      <c r="F1697" s="736"/>
      <c r="G1697" s="730"/>
      <c r="H1697" s="730"/>
      <c r="I1697" s="804"/>
      <c r="J1697" s="804"/>
      <c r="K1697" s="804"/>
      <c r="L1697" s="804"/>
      <c r="M1697" s="804"/>
      <c r="N1697" s="804"/>
      <c r="O1697" s="313"/>
    </row>
    <row r="1698" spans="1:16">
      <c r="C1698" s="735"/>
      <c r="D1698" s="736"/>
      <c r="E1698" s="736"/>
      <c r="F1698" s="736"/>
      <c r="G1698" s="730"/>
      <c r="H1698" s="730"/>
      <c r="I1698" s="804"/>
      <c r="J1698" s="804"/>
      <c r="K1698" s="804"/>
      <c r="L1698" s="804"/>
      <c r="M1698" s="804"/>
      <c r="N1698" s="804"/>
      <c r="O1698" s="313"/>
    </row>
    <row r="1699" spans="1:16">
      <c r="C1699" s="1547" t="s">
        <v>6</v>
      </c>
      <c r="D1699" s="1547"/>
      <c r="E1699" s="1547"/>
      <c r="F1699" s="1547"/>
      <c r="G1699" s="1547"/>
      <c r="H1699" s="1547"/>
      <c r="I1699" s="1547"/>
      <c r="J1699" s="1547"/>
      <c r="K1699" s="1547"/>
      <c r="L1699" s="1547"/>
      <c r="M1699" s="1547"/>
      <c r="N1699" s="1547"/>
      <c r="O1699" s="1547"/>
    </row>
    <row r="1700" spans="1:16">
      <c r="C1700" s="1547"/>
      <c r="D1700" s="1547"/>
      <c r="E1700" s="1547"/>
      <c r="F1700" s="1547"/>
      <c r="G1700" s="1547"/>
      <c r="H1700" s="1547"/>
      <c r="I1700" s="1547"/>
      <c r="J1700" s="1547"/>
      <c r="K1700" s="1547"/>
      <c r="L1700" s="1547"/>
      <c r="M1700" s="1547"/>
      <c r="N1700" s="1547"/>
      <c r="O1700" s="1547"/>
    </row>
    <row r="1701" spans="1:16">
      <c r="C1701" s="735"/>
      <c r="D1701" s="736"/>
      <c r="E1701" s="736"/>
      <c r="F1701" s="736"/>
      <c r="G1701" s="730"/>
      <c r="H1701" s="730"/>
    </row>
    <row r="1702" spans="1:16" ht="20.25">
      <c r="A1702" s="737" t="str">
        <f>""&amp;A1626&amp;" Worksheet J -  ATRR PROJECTED Calculation for PJM Projects Charged to Benefiting Zones"</f>
        <v xml:space="preserve"> Worksheet J -  ATRR PROJECTED Calculation for PJM Projects Charged to Benefiting Zones</v>
      </c>
      <c r="B1702" s="347"/>
      <c r="C1702" s="725"/>
      <c r="D1702" s="538"/>
      <c r="E1702" s="313"/>
      <c r="F1702" s="707"/>
      <c r="G1702" s="313"/>
      <c r="H1702" s="708"/>
      <c r="K1702" s="564"/>
      <c r="L1702" s="564"/>
      <c r="M1702" s="564"/>
      <c r="N1702" s="653" t="str">
        <f>"Page "&amp;SUM(P$8:P1702)&amp;" of "</f>
        <v xml:space="preserve">Page 20 of </v>
      </c>
      <c r="O1702" s="654">
        <f>COUNT(P$8:P$56653)</f>
        <v>23</v>
      </c>
      <c r="P1702" s="172">
        <v>1</v>
      </c>
    </row>
    <row r="1703" spans="1:16">
      <c r="B1703" s="347"/>
      <c r="C1703" s="313"/>
      <c r="D1703" s="538"/>
      <c r="E1703" s="313"/>
      <c r="F1703" s="313"/>
      <c r="G1703" s="313"/>
      <c r="H1703" s="708"/>
      <c r="I1703" s="313"/>
      <c r="J1703" s="426"/>
      <c r="K1703" s="313"/>
      <c r="L1703" s="313"/>
      <c r="M1703" s="313"/>
      <c r="N1703" s="313"/>
      <c r="O1703" s="313"/>
    </row>
    <row r="1704" spans="1:16" ht="18">
      <c r="B1704" s="657" t="s">
        <v>466</v>
      </c>
      <c r="C1704" s="739" t="s">
        <v>85</v>
      </c>
      <c r="D1704" s="538"/>
      <c r="E1704" s="313"/>
      <c r="F1704" s="313"/>
      <c r="G1704" s="313"/>
      <c r="H1704" s="708"/>
      <c r="I1704" s="708"/>
      <c r="J1704" s="730"/>
      <c r="K1704" s="708"/>
      <c r="L1704" s="708"/>
      <c r="M1704" s="708"/>
      <c r="N1704" s="708"/>
      <c r="O1704" s="313"/>
    </row>
    <row r="1705" spans="1:16" ht="18.75">
      <c r="B1705" s="657"/>
      <c r="C1705" s="656"/>
      <c r="D1705" s="538"/>
      <c r="E1705" s="313"/>
      <c r="F1705" s="313"/>
      <c r="G1705" s="313"/>
      <c r="H1705" s="708"/>
      <c r="I1705" s="708"/>
      <c r="J1705" s="730"/>
      <c r="K1705" s="708"/>
      <c r="L1705" s="708"/>
      <c r="M1705" s="708"/>
      <c r="N1705" s="708"/>
      <c r="O1705" s="313"/>
    </row>
    <row r="1706" spans="1:16" ht="18.75">
      <c r="B1706" s="657"/>
      <c r="C1706" s="656" t="s">
        <v>86</v>
      </c>
      <c r="D1706" s="538"/>
      <c r="E1706" s="313"/>
      <c r="F1706" s="313"/>
      <c r="G1706" s="313"/>
      <c r="H1706" s="708"/>
      <c r="I1706" s="708"/>
      <c r="J1706" s="730"/>
      <c r="K1706" s="708"/>
      <c r="L1706" s="708"/>
      <c r="M1706" s="708"/>
      <c r="N1706" s="708"/>
      <c r="O1706" s="313"/>
    </row>
    <row r="1707" spans="1:16" ht="15.75" thickBot="1">
      <c r="C1707" s="239"/>
      <c r="D1707" s="538"/>
      <c r="E1707" s="313"/>
      <c r="F1707" s="313"/>
      <c r="G1707" s="313"/>
      <c r="H1707" s="708"/>
      <c r="I1707" s="708"/>
      <c r="J1707" s="730"/>
      <c r="K1707" s="708"/>
      <c r="L1707" s="708"/>
      <c r="M1707" s="708"/>
      <c r="N1707" s="708"/>
      <c r="O1707" s="313"/>
    </row>
    <row r="1708" spans="1:16" ht="15.75">
      <c r="C1708" s="659" t="s">
        <v>87</v>
      </c>
      <c r="D1708" s="538"/>
      <c r="E1708" s="313"/>
      <c r="F1708" s="313"/>
      <c r="G1708" s="806"/>
      <c r="H1708" s="313" t="s">
        <v>66</v>
      </c>
      <c r="I1708" s="313"/>
      <c r="J1708" s="426"/>
      <c r="K1708" s="740" t="s">
        <v>91</v>
      </c>
      <c r="L1708" s="741"/>
      <c r="M1708" s="742"/>
      <c r="N1708" s="743">
        <f>IF(I1714=0,0,VLOOKUP(I1714,C1721:O1780,5))</f>
        <v>7138204.7218175568</v>
      </c>
      <c r="O1708" s="313"/>
    </row>
    <row r="1709" spans="1:16" ht="15.75">
      <c r="C1709" s="659"/>
      <c r="D1709" s="538"/>
      <c r="E1709" s="313"/>
      <c r="F1709" s="313"/>
      <c r="G1709" s="313"/>
      <c r="H1709" s="744"/>
      <c r="I1709" s="744"/>
      <c r="J1709" s="745"/>
      <c r="K1709" s="746" t="s">
        <v>92</v>
      </c>
      <c r="L1709" s="747"/>
      <c r="M1709" s="426"/>
      <c r="N1709" s="748">
        <f>IF(I1714=0,0,VLOOKUP(I1714,C1721:O1780,6))</f>
        <v>7138204.7218175568</v>
      </c>
      <c r="O1709" s="313"/>
    </row>
    <row r="1710" spans="1:16" ht="13.5" thickBot="1">
      <c r="C1710" s="749" t="s">
        <v>88</v>
      </c>
      <c r="D1710" s="1537" t="s">
        <v>828</v>
      </c>
      <c r="E1710" s="1537"/>
      <c r="F1710" s="1537"/>
      <c r="G1710" s="1537"/>
      <c r="H1710" s="1537"/>
      <c r="I1710" s="1537"/>
      <c r="J1710" s="730"/>
      <c r="K1710" s="750" t="s">
        <v>230</v>
      </c>
      <c r="L1710" s="751"/>
      <c r="M1710" s="751"/>
      <c r="N1710" s="752">
        <f>+N1709-N1708</f>
        <v>0</v>
      </c>
      <c r="O1710" s="313"/>
    </row>
    <row r="1711" spans="1:16">
      <c r="C1711" s="753"/>
      <c r="D1711" s="754"/>
      <c r="E1711" s="734"/>
      <c r="F1711" s="734"/>
      <c r="G1711" s="755"/>
      <c r="H1711" s="708"/>
      <c r="I1711" s="708"/>
      <c r="J1711" s="730"/>
      <c r="K1711" s="708"/>
      <c r="L1711" s="708"/>
      <c r="M1711" s="708"/>
      <c r="N1711" s="708"/>
      <c r="O1711" s="313"/>
    </row>
    <row r="1712" spans="1:16" ht="13.5" thickBot="1">
      <c r="C1712" s="756"/>
      <c r="D1712" s="757"/>
      <c r="E1712" s="755"/>
      <c r="F1712" s="755"/>
      <c r="G1712" s="755"/>
      <c r="H1712" s="755"/>
      <c r="I1712" s="755"/>
      <c r="J1712" s="758"/>
      <c r="K1712" s="755"/>
      <c r="L1712" s="755"/>
      <c r="M1712" s="755"/>
      <c r="N1712" s="755"/>
      <c r="O1712" s="347"/>
    </row>
    <row r="1713" spans="2:15" ht="13.5" thickBot="1">
      <c r="C1713" s="759" t="s">
        <v>89</v>
      </c>
      <c r="D1713" s="760"/>
      <c r="E1713" s="760"/>
      <c r="F1713" s="760"/>
      <c r="G1713" s="760"/>
      <c r="H1713" s="760"/>
      <c r="I1713" s="761"/>
      <c r="J1713" s="762"/>
      <c r="K1713" s="313"/>
      <c r="L1713" s="313"/>
      <c r="M1713" s="313"/>
      <c r="N1713" s="313"/>
      <c r="O1713" s="763"/>
    </row>
    <row r="1714" spans="2:15" ht="15">
      <c r="C1714" s="764" t="s">
        <v>67</v>
      </c>
      <c r="D1714" s="808">
        <v>50970497</v>
      </c>
      <c r="E1714" s="725" t="s">
        <v>68</v>
      </c>
      <c r="G1714" s="765"/>
      <c r="H1714" s="765"/>
      <c r="I1714" s="766">
        <f>$L$26</f>
        <v>2023</v>
      </c>
      <c r="J1714" s="554"/>
      <c r="K1714" s="1536" t="s">
        <v>239</v>
      </c>
      <c r="L1714" s="1536"/>
      <c r="M1714" s="1536"/>
      <c r="N1714" s="1536"/>
      <c r="O1714" s="1536"/>
    </row>
    <row r="1715" spans="2:15">
      <c r="C1715" s="764" t="s">
        <v>70</v>
      </c>
      <c r="D1715" s="809">
        <v>2015</v>
      </c>
      <c r="E1715" s="764" t="s">
        <v>71</v>
      </c>
      <c r="F1715" s="765"/>
      <c r="H1715" s="172"/>
      <c r="I1715" s="810">
        <f>IF(G1708="",0,$F$17)</f>
        <v>0</v>
      </c>
      <c r="J1715" s="767"/>
      <c r="K1715" s="730" t="s">
        <v>239</v>
      </c>
    </row>
    <row r="1716" spans="2:15">
      <c r="C1716" s="764" t="s">
        <v>72</v>
      </c>
      <c r="D1716" s="808">
        <v>6</v>
      </c>
      <c r="E1716" s="764" t="s">
        <v>73</v>
      </c>
      <c r="F1716" s="765"/>
      <c r="H1716" s="172"/>
      <c r="I1716" s="768">
        <f>$G$70</f>
        <v>0.14450383244078713</v>
      </c>
      <c r="J1716" s="769"/>
      <c r="K1716" s="172" t="str">
        <f>"          INPUT PROJECTED ARR (WITH &amp; WITHOUT INCENTIVES) FROM EACH PRIOR YEAR"</f>
        <v xml:space="preserve">          INPUT PROJECTED ARR (WITH &amp; WITHOUT INCENTIVES) FROM EACH PRIOR YEAR</v>
      </c>
    </row>
    <row r="1717" spans="2:15">
      <c r="C1717" s="764" t="s">
        <v>74</v>
      </c>
      <c r="D1717" s="770">
        <f>$G$79</f>
        <v>35</v>
      </c>
      <c r="E1717" s="764" t="s">
        <v>75</v>
      </c>
      <c r="F1717" s="765"/>
      <c r="H1717" s="172"/>
      <c r="I1717" s="768">
        <f>IF(G1708="",I1716,$G$69)</f>
        <v>0.14450383244078713</v>
      </c>
      <c r="J1717" s="771"/>
      <c r="K1717" s="172" t="s">
        <v>152</v>
      </c>
    </row>
    <row r="1718" spans="2:15" ht="13.5" thickBot="1">
      <c r="C1718" s="764" t="s">
        <v>76</v>
      </c>
      <c r="D1718" s="807" t="s">
        <v>808</v>
      </c>
      <c r="E1718" s="772" t="s">
        <v>77</v>
      </c>
      <c r="F1718" s="773"/>
      <c r="G1718" s="774"/>
      <c r="H1718" s="774"/>
      <c r="I1718" s="752">
        <f>IF(D1714=0,0,D1714/D1717)</f>
        <v>1456299.9142857143</v>
      </c>
      <c r="J1718" s="730"/>
      <c r="K1718" s="730" t="s">
        <v>158</v>
      </c>
      <c r="L1718" s="730"/>
      <c r="M1718" s="730"/>
      <c r="N1718" s="730"/>
      <c r="O1718" s="426"/>
    </row>
    <row r="1719" spans="2:15" ht="38.25">
      <c r="B1719" s="845"/>
      <c r="C1719" s="775" t="s">
        <v>67</v>
      </c>
      <c r="D1719" s="776" t="s">
        <v>78</v>
      </c>
      <c r="E1719" s="777" t="s">
        <v>79</v>
      </c>
      <c r="F1719" s="776" t="s">
        <v>80</v>
      </c>
      <c r="G1719" s="777" t="s">
        <v>151</v>
      </c>
      <c r="H1719" s="778" t="s">
        <v>151</v>
      </c>
      <c r="I1719" s="775" t="s">
        <v>90</v>
      </c>
      <c r="J1719" s="779"/>
      <c r="K1719" s="777" t="s">
        <v>160</v>
      </c>
      <c r="L1719" s="780"/>
      <c r="M1719" s="777" t="s">
        <v>160</v>
      </c>
      <c r="N1719" s="780"/>
      <c r="O1719" s="780"/>
    </row>
    <row r="1720" spans="2:15" ht="13.5" thickBot="1">
      <c r="C1720" s="781" t="s">
        <v>469</v>
      </c>
      <c r="D1720" s="782" t="s">
        <v>470</v>
      </c>
      <c r="E1720" s="781" t="s">
        <v>363</v>
      </c>
      <c r="F1720" s="782" t="s">
        <v>470</v>
      </c>
      <c r="G1720" s="783" t="s">
        <v>93</v>
      </c>
      <c r="H1720" s="784" t="s">
        <v>95</v>
      </c>
      <c r="I1720" s="785" t="s">
        <v>15</v>
      </c>
      <c r="J1720" s="786"/>
      <c r="K1720" s="783" t="s">
        <v>82</v>
      </c>
      <c r="L1720" s="787"/>
      <c r="M1720" s="783" t="s">
        <v>95</v>
      </c>
      <c r="N1720" s="787"/>
      <c r="O1720" s="787"/>
    </row>
    <row r="1721" spans="2:15">
      <c r="C1721" s="788">
        <f>IF(D1715= "","-",D1715)</f>
        <v>2015</v>
      </c>
      <c r="D1721" s="736">
        <f>+D1714</f>
        <v>50970497</v>
      </c>
      <c r="E1721" s="789">
        <f>+I1718/12*(12-D1716)</f>
        <v>728149.95714285714</v>
      </c>
      <c r="F1721" s="736">
        <f>+D1721-E1721</f>
        <v>50242347.04285714</v>
      </c>
      <c r="G1721" s="985">
        <f>+$I$96*((D1721+F1721)/2)+E1721</f>
        <v>8040971.8853551308</v>
      </c>
      <c r="H1721" s="986">
        <f>$I$97*((D1721+F1721)/2)+E1721</f>
        <v>8040971.8853551308</v>
      </c>
      <c r="I1721" s="792">
        <f>+H1721-G1721</f>
        <v>0</v>
      </c>
      <c r="J1721" s="792"/>
      <c r="K1721" s="811">
        <v>6416043</v>
      </c>
      <c r="L1721" s="793"/>
      <c r="M1721" s="811">
        <v>6416043</v>
      </c>
      <c r="N1721" s="793"/>
      <c r="O1721" s="793"/>
    </row>
    <row r="1722" spans="2:15">
      <c r="C1722" s="788">
        <f>IF(D1715="","-",+C1721+1)</f>
        <v>2016</v>
      </c>
      <c r="D1722" s="736">
        <f t="shared" ref="D1722:D1780" si="108">F1721</f>
        <v>50242347.04285714</v>
      </c>
      <c r="E1722" s="789">
        <f>IF(D1722&gt;$I$1718,$I$1718,D1722)</f>
        <v>1456299.9142857143</v>
      </c>
      <c r="F1722" s="736">
        <f t="shared" ref="F1722:F1780" si="109">+D1722-E1722</f>
        <v>48786047.128571428</v>
      </c>
      <c r="G1722" s="794">
        <f t="shared" ref="G1722:G1780" si="110">+$I$96*((D1722+F1722)/2)+E1722</f>
        <v>8611291.153399881</v>
      </c>
      <c r="H1722" s="795">
        <f t="shared" ref="H1722:H1780" si="111">$I$97*((D1722+F1722)/2)+E1722</f>
        <v>8611291.153399881</v>
      </c>
      <c r="I1722" s="792">
        <f t="shared" ref="I1722:I1780" si="112">+H1722-G1722</f>
        <v>0</v>
      </c>
      <c r="J1722" s="792"/>
      <c r="K1722" s="812">
        <v>7260678</v>
      </c>
      <c r="L1722" s="796"/>
      <c r="M1722" s="812">
        <v>7260678</v>
      </c>
      <c r="N1722" s="796"/>
      <c r="O1722" s="796"/>
    </row>
    <row r="1723" spans="2:15">
      <c r="C1723" s="788">
        <f>IF(D1715="","-",+C1722+1)</f>
        <v>2017</v>
      </c>
      <c r="D1723" s="736">
        <f t="shared" si="108"/>
        <v>48786047.128571428</v>
      </c>
      <c r="E1723" s="789">
        <f t="shared" ref="E1723:E1780" si="113">IF(D1723&gt;$I$1718,$I$1718,D1723)</f>
        <v>1456299.9142857143</v>
      </c>
      <c r="F1723" s="736">
        <f t="shared" si="109"/>
        <v>47329747.214285716</v>
      </c>
      <c r="G1723" s="794">
        <f t="shared" si="110"/>
        <v>8400850.2346024066</v>
      </c>
      <c r="H1723" s="795">
        <f t="shared" si="111"/>
        <v>8400850.2346024066</v>
      </c>
      <c r="I1723" s="792">
        <f t="shared" si="112"/>
        <v>0</v>
      </c>
      <c r="J1723" s="792"/>
      <c r="K1723" s="812">
        <v>8690541</v>
      </c>
      <c r="L1723" s="796"/>
      <c r="M1723" s="812">
        <v>8690541</v>
      </c>
      <c r="N1723" s="796"/>
      <c r="O1723" s="796"/>
    </row>
    <row r="1724" spans="2:15">
      <c r="C1724" s="1312">
        <f>IF(D1715="","-",+C1723+1)</f>
        <v>2018</v>
      </c>
      <c r="D1724" s="736">
        <f t="shared" si="108"/>
        <v>47329747.214285716</v>
      </c>
      <c r="E1724" s="789">
        <f t="shared" si="113"/>
        <v>1456299.9142857143</v>
      </c>
      <c r="F1724" s="736">
        <f t="shared" si="109"/>
        <v>45873447.300000004</v>
      </c>
      <c r="G1724" s="794">
        <f t="shared" si="110"/>
        <v>8190409.3158049304</v>
      </c>
      <c r="H1724" s="795">
        <f t="shared" si="111"/>
        <v>8190409.3158049304</v>
      </c>
      <c r="I1724" s="792">
        <f t="shared" si="112"/>
        <v>0</v>
      </c>
      <c r="J1724" s="792"/>
      <c r="K1724" s="812">
        <v>7830032</v>
      </c>
      <c r="L1724" s="796"/>
      <c r="M1724" s="812">
        <v>7830032</v>
      </c>
      <c r="N1724" s="796"/>
      <c r="O1724" s="796"/>
    </row>
    <row r="1725" spans="2:15">
      <c r="C1725" s="1290">
        <f>IF(D1715="","-",+C1724+1)</f>
        <v>2019</v>
      </c>
      <c r="D1725" s="736">
        <f t="shared" si="108"/>
        <v>45873447.300000004</v>
      </c>
      <c r="E1725" s="789">
        <f t="shared" si="113"/>
        <v>1456299.9142857143</v>
      </c>
      <c r="F1725" s="736">
        <f t="shared" si="109"/>
        <v>44417147.385714293</v>
      </c>
      <c r="G1725" s="794">
        <f t="shared" si="110"/>
        <v>7979968.397007456</v>
      </c>
      <c r="H1725" s="795">
        <f t="shared" si="111"/>
        <v>7979968.397007456</v>
      </c>
      <c r="I1725" s="792">
        <f t="shared" si="112"/>
        <v>0</v>
      </c>
      <c r="J1725" s="792"/>
      <c r="K1725" s="812"/>
      <c r="L1725" s="796"/>
      <c r="M1725" s="812"/>
      <c r="N1725" s="796"/>
      <c r="O1725" s="796"/>
    </row>
    <row r="1726" spans="2:15">
      <c r="C1726" s="788">
        <f>IF(D1715="","-",+C1725+1)</f>
        <v>2020</v>
      </c>
      <c r="D1726" s="736">
        <f t="shared" si="108"/>
        <v>44417147.385714293</v>
      </c>
      <c r="E1726" s="789">
        <f t="shared" si="113"/>
        <v>1456299.9142857143</v>
      </c>
      <c r="F1726" s="736">
        <f t="shared" si="109"/>
        <v>42960847.471428581</v>
      </c>
      <c r="G1726" s="794">
        <f t="shared" si="110"/>
        <v>7769527.4782099798</v>
      </c>
      <c r="H1726" s="795">
        <f t="shared" si="111"/>
        <v>7769527.4782099798</v>
      </c>
      <c r="I1726" s="792">
        <f t="shared" si="112"/>
        <v>0</v>
      </c>
      <c r="J1726" s="792"/>
      <c r="K1726" s="812"/>
      <c r="L1726" s="796"/>
      <c r="M1726" s="812"/>
      <c r="N1726" s="796"/>
      <c r="O1726" s="796"/>
    </row>
    <row r="1727" spans="2:15">
      <c r="C1727" s="788">
        <f>IF(D1715="","-",+C1726+1)</f>
        <v>2021</v>
      </c>
      <c r="D1727" s="736">
        <f t="shared" si="108"/>
        <v>42960847.471428581</v>
      </c>
      <c r="E1727" s="789">
        <f t="shared" si="113"/>
        <v>1456299.9142857143</v>
      </c>
      <c r="F1727" s="736">
        <f t="shared" si="109"/>
        <v>41504547.557142869</v>
      </c>
      <c r="G1727" s="794">
        <f t="shared" si="110"/>
        <v>7559086.5594125055</v>
      </c>
      <c r="H1727" s="795">
        <f t="shared" si="111"/>
        <v>7559086.5594125055</v>
      </c>
      <c r="I1727" s="792">
        <f t="shared" si="112"/>
        <v>0</v>
      </c>
      <c r="J1727" s="792"/>
      <c r="K1727" s="812"/>
      <c r="L1727" s="796"/>
      <c r="M1727" s="812"/>
      <c r="N1727" s="796"/>
      <c r="O1727" s="796"/>
    </row>
    <row r="1728" spans="2:15">
      <c r="C1728" s="788">
        <f>IF(D1715="","-",+C1727+1)</f>
        <v>2022</v>
      </c>
      <c r="D1728" s="736">
        <f t="shared" si="108"/>
        <v>41504547.557142869</v>
      </c>
      <c r="E1728" s="789">
        <f t="shared" si="113"/>
        <v>1456299.9142857143</v>
      </c>
      <c r="F1728" s="736">
        <f t="shared" si="109"/>
        <v>40048247.642857157</v>
      </c>
      <c r="G1728" s="794">
        <f t="shared" si="110"/>
        <v>7348645.6406150293</v>
      </c>
      <c r="H1728" s="795">
        <f t="shared" si="111"/>
        <v>7348645.6406150293</v>
      </c>
      <c r="I1728" s="792">
        <f t="shared" si="112"/>
        <v>0</v>
      </c>
      <c r="J1728" s="792"/>
      <c r="K1728" s="812"/>
      <c r="L1728" s="796"/>
      <c r="M1728" s="812"/>
      <c r="N1728" s="796"/>
      <c r="O1728" s="796"/>
    </row>
    <row r="1729" spans="3:15">
      <c r="C1729" s="788">
        <f>IF(D1715="","-",+C1728+1)</f>
        <v>2023</v>
      </c>
      <c r="D1729" s="736">
        <f t="shared" si="108"/>
        <v>40048247.642857157</v>
      </c>
      <c r="E1729" s="789">
        <f t="shared" si="113"/>
        <v>1456299.9142857143</v>
      </c>
      <c r="F1729" s="736">
        <f t="shared" si="109"/>
        <v>38591947.728571445</v>
      </c>
      <c r="G1729" s="794">
        <f t="shared" si="110"/>
        <v>7138204.7218175568</v>
      </c>
      <c r="H1729" s="795">
        <f t="shared" si="111"/>
        <v>7138204.7218175568</v>
      </c>
      <c r="I1729" s="792">
        <f t="shared" si="112"/>
        <v>0</v>
      </c>
      <c r="J1729" s="792"/>
      <c r="K1729" s="812"/>
      <c r="L1729" s="796"/>
      <c r="M1729" s="812"/>
      <c r="N1729" s="796"/>
      <c r="O1729" s="796"/>
    </row>
    <row r="1730" spans="3:15">
      <c r="C1730" s="788">
        <f>IF(D1715="","-",+C1729+1)</f>
        <v>2024</v>
      </c>
      <c r="D1730" s="736">
        <f t="shared" si="108"/>
        <v>38591947.728571445</v>
      </c>
      <c r="E1730" s="789">
        <f t="shared" si="113"/>
        <v>1456299.9142857143</v>
      </c>
      <c r="F1730" s="736">
        <f t="shared" si="109"/>
        <v>37135647.814285733</v>
      </c>
      <c r="G1730" s="794">
        <f t="shared" si="110"/>
        <v>6927763.8030200787</v>
      </c>
      <c r="H1730" s="795">
        <f t="shared" si="111"/>
        <v>6927763.8030200787</v>
      </c>
      <c r="I1730" s="792">
        <f t="shared" si="112"/>
        <v>0</v>
      </c>
      <c r="J1730" s="792"/>
      <c r="K1730" s="812"/>
      <c r="L1730" s="796"/>
      <c r="M1730" s="812"/>
      <c r="N1730" s="796"/>
      <c r="O1730" s="796"/>
    </row>
    <row r="1731" spans="3:15">
      <c r="C1731" s="788">
        <f>IF(D1715="","-",+C1730+1)</f>
        <v>2025</v>
      </c>
      <c r="D1731" s="736">
        <f t="shared" si="108"/>
        <v>37135647.814285733</v>
      </c>
      <c r="E1731" s="789">
        <f t="shared" si="113"/>
        <v>1456299.9142857143</v>
      </c>
      <c r="F1731" s="736">
        <f t="shared" si="109"/>
        <v>35679347.900000021</v>
      </c>
      <c r="G1731" s="794">
        <f t="shared" si="110"/>
        <v>6717322.8842226062</v>
      </c>
      <c r="H1731" s="795">
        <f t="shared" si="111"/>
        <v>6717322.8842226062</v>
      </c>
      <c r="I1731" s="792">
        <f t="shared" si="112"/>
        <v>0</v>
      </c>
      <c r="J1731" s="792"/>
      <c r="K1731" s="812"/>
      <c r="L1731" s="796"/>
      <c r="M1731" s="812"/>
      <c r="N1731" s="796"/>
      <c r="O1731" s="796"/>
    </row>
    <row r="1732" spans="3:15">
      <c r="C1732" s="788">
        <f>IF(D1715="","-",+C1731+1)</f>
        <v>2026</v>
      </c>
      <c r="D1732" s="736">
        <f t="shared" si="108"/>
        <v>35679347.900000021</v>
      </c>
      <c r="E1732" s="789">
        <f t="shared" si="113"/>
        <v>1456299.9142857143</v>
      </c>
      <c r="F1732" s="736">
        <f t="shared" si="109"/>
        <v>34223047.985714309</v>
      </c>
      <c r="G1732" s="794">
        <f t="shared" si="110"/>
        <v>6506881.96542513</v>
      </c>
      <c r="H1732" s="795">
        <f t="shared" si="111"/>
        <v>6506881.96542513</v>
      </c>
      <c r="I1732" s="792">
        <f t="shared" si="112"/>
        <v>0</v>
      </c>
      <c r="J1732" s="792"/>
      <c r="K1732" s="812"/>
      <c r="L1732" s="796"/>
      <c r="M1732" s="812"/>
      <c r="N1732" s="796"/>
      <c r="O1732" s="796"/>
    </row>
    <row r="1733" spans="3:15">
      <c r="C1733" s="788">
        <f>IF(D1715="","-",+C1732+1)</f>
        <v>2027</v>
      </c>
      <c r="D1733" s="736">
        <f t="shared" si="108"/>
        <v>34223047.985714309</v>
      </c>
      <c r="E1733" s="789">
        <f t="shared" si="113"/>
        <v>1456299.9142857143</v>
      </c>
      <c r="F1733" s="736">
        <f t="shared" si="109"/>
        <v>32766748.071428593</v>
      </c>
      <c r="G1733" s="794">
        <f t="shared" si="110"/>
        <v>6296441.0466276538</v>
      </c>
      <c r="H1733" s="795">
        <f t="shared" si="111"/>
        <v>6296441.0466276538</v>
      </c>
      <c r="I1733" s="792">
        <f t="shared" si="112"/>
        <v>0</v>
      </c>
      <c r="J1733" s="792"/>
      <c r="K1733" s="812"/>
      <c r="L1733" s="796"/>
      <c r="M1733" s="812"/>
      <c r="N1733" s="797"/>
      <c r="O1733" s="796"/>
    </row>
    <row r="1734" spans="3:15">
      <c r="C1734" s="788">
        <f>IF(D1715="","-",+C1733+1)</f>
        <v>2028</v>
      </c>
      <c r="D1734" s="736">
        <f t="shared" si="108"/>
        <v>32766748.071428593</v>
      </c>
      <c r="E1734" s="789">
        <f t="shared" si="113"/>
        <v>1456299.9142857143</v>
      </c>
      <c r="F1734" s="736">
        <f t="shared" si="109"/>
        <v>31310448.157142878</v>
      </c>
      <c r="G1734" s="794">
        <f t="shared" si="110"/>
        <v>6086000.1278301794</v>
      </c>
      <c r="H1734" s="795">
        <f t="shared" si="111"/>
        <v>6086000.1278301794</v>
      </c>
      <c r="I1734" s="792">
        <f t="shared" si="112"/>
        <v>0</v>
      </c>
      <c r="J1734" s="792"/>
      <c r="K1734" s="812"/>
      <c r="L1734" s="796"/>
      <c r="M1734" s="812"/>
      <c r="N1734" s="796"/>
      <c r="O1734" s="796"/>
    </row>
    <row r="1735" spans="3:15">
      <c r="C1735" s="788">
        <f>IF(D1715="","-",+C1734+1)</f>
        <v>2029</v>
      </c>
      <c r="D1735" s="736">
        <f t="shared" si="108"/>
        <v>31310448.157142878</v>
      </c>
      <c r="E1735" s="789">
        <f t="shared" si="113"/>
        <v>1456299.9142857143</v>
      </c>
      <c r="F1735" s="736">
        <f t="shared" si="109"/>
        <v>29854148.242857162</v>
      </c>
      <c r="G1735" s="794">
        <f t="shared" si="110"/>
        <v>5875559.2090327032</v>
      </c>
      <c r="H1735" s="795">
        <f t="shared" si="111"/>
        <v>5875559.2090327032</v>
      </c>
      <c r="I1735" s="792">
        <f t="shared" si="112"/>
        <v>0</v>
      </c>
      <c r="J1735" s="792"/>
      <c r="K1735" s="812"/>
      <c r="L1735" s="796"/>
      <c r="M1735" s="812"/>
      <c r="N1735" s="796"/>
      <c r="O1735" s="796"/>
    </row>
    <row r="1736" spans="3:15">
      <c r="C1736" s="788">
        <f>IF(D1715="","-",+C1735+1)</f>
        <v>2030</v>
      </c>
      <c r="D1736" s="736">
        <f t="shared" si="108"/>
        <v>29854148.242857162</v>
      </c>
      <c r="E1736" s="789">
        <f t="shared" si="113"/>
        <v>1456299.9142857143</v>
      </c>
      <c r="F1736" s="736">
        <f t="shared" si="109"/>
        <v>28397848.328571446</v>
      </c>
      <c r="G1736" s="794">
        <f t="shared" si="110"/>
        <v>5665118.290235227</v>
      </c>
      <c r="H1736" s="795">
        <f t="shared" si="111"/>
        <v>5665118.290235227</v>
      </c>
      <c r="I1736" s="792">
        <f t="shared" si="112"/>
        <v>0</v>
      </c>
      <c r="J1736" s="792"/>
      <c r="K1736" s="812"/>
      <c r="L1736" s="796"/>
      <c r="M1736" s="812"/>
      <c r="N1736" s="796"/>
      <c r="O1736" s="796"/>
    </row>
    <row r="1737" spans="3:15">
      <c r="C1737" s="788">
        <f>IF(D1715="","-",+C1736+1)</f>
        <v>2031</v>
      </c>
      <c r="D1737" s="736">
        <f t="shared" si="108"/>
        <v>28397848.328571446</v>
      </c>
      <c r="E1737" s="789">
        <f t="shared" si="113"/>
        <v>1456299.9142857143</v>
      </c>
      <c r="F1737" s="736">
        <f t="shared" si="109"/>
        <v>26941548.414285731</v>
      </c>
      <c r="G1737" s="794">
        <f t="shared" si="110"/>
        <v>5454677.3714377508</v>
      </c>
      <c r="H1737" s="795">
        <f t="shared" si="111"/>
        <v>5454677.3714377508</v>
      </c>
      <c r="I1737" s="792">
        <f t="shared" si="112"/>
        <v>0</v>
      </c>
      <c r="J1737" s="792"/>
      <c r="K1737" s="812"/>
      <c r="L1737" s="796"/>
      <c r="M1737" s="812"/>
      <c r="N1737" s="796"/>
      <c r="O1737" s="796"/>
    </row>
    <row r="1738" spans="3:15">
      <c r="C1738" s="788">
        <f>IF(D1715="","-",+C1737+1)</f>
        <v>2032</v>
      </c>
      <c r="D1738" s="736">
        <f t="shared" si="108"/>
        <v>26941548.414285731</v>
      </c>
      <c r="E1738" s="789">
        <f t="shared" si="113"/>
        <v>1456299.9142857143</v>
      </c>
      <c r="F1738" s="736">
        <f t="shared" si="109"/>
        <v>25485248.500000015</v>
      </c>
      <c r="G1738" s="794">
        <f t="shared" si="110"/>
        <v>5244236.4526402764</v>
      </c>
      <c r="H1738" s="795">
        <f t="shared" si="111"/>
        <v>5244236.4526402764</v>
      </c>
      <c r="I1738" s="792">
        <f t="shared" si="112"/>
        <v>0</v>
      </c>
      <c r="J1738" s="792"/>
      <c r="K1738" s="812"/>
      <c r="L1738" s="796"/>
      <c r="M1738" s="812"/>
      <c r="N1738" s="796"/>
      <c r="O1738" s="796"/>
    </row>
    <row r="1739" spans="3:15">
      <c r="C1739" s="788">
        <f>IF(D1715="","-",+C1738+1)</f>
        <v>2033</v>
      </c>
      <c r="D1739" s="736">
        <f t="shared" si="108"/>
        <v>25485248.500000015</v>
      </c>
      <c r="E1739" s="789">
        <f t="shared" si="113"/>
        <v>1456299.9142857143</v>
      </c>
      <c r="F1739" s="736">
        <f t="shared" si="109"/>
        <v>24028948.585714299</v>
      </c>
      <c r="G1739" s="794">
        <f t="shared" si="110"/>
        <v>5033795.5338428002</v>
      </c>
      <c r="H1739" s="795">
        <f t="shared" si="111"/>
        <v>5033795.5338428002</v>
      </c>
      <c r="I1739" s="792">
        <f t="shared" si="112"/>
        <v>0</v>
      </c>
      <c r="J1739" s="792"/>
      <c r="K1739" s="812"/>
      <c r="L1739" s="796"/>
      <c r="M1739" s="812"/>
      <c r="N1739" s="796"/>
      <c r="O1739" s="796"/>
    </row>
    <row r="1740" spans="3:15">
      <c r="C1740" s="788">
        <f>IF(D1715="","-",+C1739+1)</f>
        <v>2034</v>
      </c>
      <c r="D1740" s="736">
        <f t="shared" si="108"/>
        <v>24028948.585714299</v>
      </c>
      <c r="E1740" s="789">
        <f t="shared" si="113"/>
        <v>1456299.9142857143</v>
      </c>
      <c r="F1740" s="736">
        <f t="shared" si="109"/>
        <v>22572648.671428584</v>
      </c>
      <c r="G1740" s="794">
        <f t="shared" si="110"/>
        <v>4823354.615045324</v>
      </c>
      <c r="H1740" s="795">
        <f t="shared" si="111"/>
        <v>4823354.615045324</v>
      </c>
      <c r="I1740" s="792">
        <f t="shared" si="112"/>
        <v>0</v>
      </c>
      <c r="J1740" s="792"/>
      <c r="K1740" s="812"/>
      <c r="L1740" s="796"/>
      <c r="M1740" s="812"/>
      <c r="N1740" s="796"/>
      <c r="O1740" s="796"/>
    </row>
    <row r="1741" spans="3:15">
      <c r="C1741" s="788">
        <f>IF(D1715="","-",+C1740+1)</f>
        <v>2035</v>
      </c>
      <c r="D1741" s="736">
        <f t="shared" si="108"/>
        <v>22572648.671428584</v>
      </c>
      <c r="E1741" s="789">
        <f t="shared" si="113"/>
        <v>1456299.9142857143</v>
      </c>
      <c r="F1741" s="736">
        <f t="shared" si="109"/>
        <v>21116348.757142868</v>
      </c>
      <c r="G1741" s="794">
        <f t="shared" si="110"/>
        <v>4612913.6962478478</v>
      </c>
      <c r="H1741" s="795">
        <f t="shared" si="111"/>
        <v>4612913.6962478478</v>
      </c>
      <c r="I1741" s="792">
        <f t="shared" si="112"/>
        <v>0</v>
      </c>
      <c r="J1741" s="792"/>
      <c r="K1741" s="812"/>
      <c r="L1741" s="796"/>
      <c r="M1741" s="812"/>
      <c r="N1741" s="796"/>
      <c r="O1741" s="796"/>
    </row>
    <row r="1742" spans="3:15">
      <c r="C1742" s="788">
        <f>IF(D1715="","-",+C1741+1)</f>
        <v>2036</v>
      </c>
      <c r="D1742" s="736">
        <f t="shared" si="108"/>
        <v>21116348.757142868</v>
      </c>
      <c r="E1742" s="789">
        <f t="shared" si="113"/>
        <v>1456299.9142857143</v>
      </c>
      <c r="F1742" s="736">
        <f t="shared" si="109"/>
        <v>19660048.842857152</v>
      </c>
      <c r="G1742" s="794">
        <f t="shared" si="110"/>
        <v>4402472.7774503734</v>
      </c>
      <c r="H1742" s="795">
        <f t="shared" si="111"/>
        <v>4402472.7774503734</v>
      </c>
      <c r="I1742" s="792">
        <f t="shared" si="112"/>
        <v>0</v>
      </c>
      <c r="J1742" s="792"/>
      <c r="K1742" s="812"/>
      <c r="L1742" s="796"/>
      <c r="M1742" s="812"/>
      <c r="N1742" s="796"/>
      <c r="O1742" s="796"/>
    </row>
    <row r="1743" spans="3:15">
      <c r="C1743" s="788">
        <f>IF(D1715="","-",+C1742+1)</f>
        <v>2037</v>
      </c>
      <c r="D1743" s="736">
        <f t="shared" si="108"/>
        <v>19660048.842857152</v>
      </c>
      <c r="E1743" s="789">
        <f t="shared" si="113"/>
        <v>1456299.9142857143</v>
      </c>
      <c r="F1743" s="736">
        <f t="shared" si="109"/>
        <v>18203748.928571437</v>
      </c>
      <c r="G1743" s="794">
        <f t="shared" si="110"/>
        <v>4192031.8586528967</v>
      </c>
      <c r="H1743" s="795">
        <f t="shared" si="111"/>
        <v>4192031.8586528967</v>
      </c>
      <c r="I1743" s="792">
        <f t="shared" si="112"/>
        <v>0</v>
      </c>
      <c r="J1743" s="792"/>
      <c r="K1743" s="812"/>
      <c r="L1743" s="796"/>
      <c r="M1743" s="812"/>
      <c r="N1743" s="796"/>
      <c r="O1743" s="796"/>
    </row>
    <row r="1744" spans="3:15">
      <c r="C1744" s="788">
        <f>IF(D1715="","-",+C1743+1)</f>
        <v>2038</v>
      </c>
      <c r="D1744" s="736">
        <f t="shared" si="108"/>
        <v>18203748.928571437</v>
      </c>
      <c r="E1744" s="789">
        <f t="shared" si="113"/>
        <v>1456299.9142857143</v>
      </c>
      <c r="F1744" s="736">
        <f t="shared" si="109"/>
        <v>16747449.014285723</v>
      </c>
      <c r="G1744" s="794">
        <f t="shared" si="110"/>
        <v>3981590.9398554219</v>
      </c>
      <c r="H1744" s="795">
        <f t="shared" si="111"/>
        <v>3981590.9398554219</v>
      </c>
      <c r="I1744" s="792">
        <f t="shared" si="112"/>
        <v>0</v>
      </c>
      <c r="J1744" s="792"/>
      <c r="K1744" s="812"/>
      <c r="L1744" s="796"/>
      <c r="M1744" s="812"/>
      <c r="N1744" s="796"/>
      <c r="O1744" s="796"/>
    </row>
    <row r="1745" spans="3:15">
      <c r="C1745" s="788">
        <f>IF(D1715="","-",+C1744+1)</f>
        <v>2039</v>
      </c>
      <c r="D1745" s="736">
        <f t="shared" si="108"/>
        <v>16747449.014285723</v>
      </c>
      <c r="E1745" s="789">
        <f t="shared" si="113"/>
        <v>1456299.9142857143</v>
      </c>
      <c r="F1745" s="736">
        <f t="shared" si="109"/>
        <v>15291149.100000009</v>
      </c>
      <c r="G1745" s="794">
        <f t="shared" si="110"/>
        <v>3771150.0210579461</v>
      </c>
      <c r="H1745" s="795">
        <f t="shared" si="111"/>
        <v>3771150.0210579461</v>
      </c>
      <c r="I1745" s="792">
        <f t="shared" si="112"/>
        <v>0</v>
      </c>
      <c r="J1745" s="792"/>
      <c r="K1745" s="812"/>
      <c r="L1745" s="796"/>
      <c r="M1745" s="812"/>
      <c r="N1745" s="796"/>
      <c r="O1745" s="796"/>
    </row>
    <row r="1746" spans="3:15">
      <c r="C1746" s="788">
        <f>IF(D1715="","-",+C1745+1)</f>
        <v>2040</v>
      </c>
      <c r="D1746" s="736">
        <f t="shared" si="108"/>
        <v>15291149.100000009</v>
      </c>
      <c r="E1746" s="789">
        <f t="shared" si="113"/>
        <v>1456299.9142857143</v>
      </c>
      <c r="F1746" s="736">
        <f t="shared" si="109"/>
        <v>13834849.185714295</v>
      </c>
      <c r="G1746" s="794">
        <f t="shared" si="110"/>
        <v>3560709.1022604709</v>
      </c>
      <c r="H1746" s="795">
        <f t="shared" si="111"/>
        <v>3560709.1022604709</v>
      </c>
      <c r="I1746" s="792">
        <f t="shared" si="112"/>
        <v>0</v>
      </c>
      <c r="J1746" s="792"/>
      <c r="K1746" s="812"/>
      <c r="L1746" s="796"/>
      <c r="M1746" s="812"/>
      <c r="N1746" s="796"/>
      <c r="O1746" s="796"/>
    </row>
    <row r="1747" spans="3:15">
      <c r="C1747" s="788">
        <f>IF(D1715="","-",+C1746+1)</f>
        <v>2041</v>
      </c>
      <c r="D1747" s="736">
        <f t="shared" si="108"/>
        <v>13834849.185714295</v>
      </c>
      <c r="E1747" s="789">
        <f t="shared" si="113"/>
        <v>1456299.9142857143</v>
      </c>
      <c r="F1747" s="736">
        <f t="shared" si="109"/>
        <v>12378549.271428581</v>
      </c>
      <c r="G1747" s="794">
        <f t="shared" si="110"/>
        <v>3350268.1834629951</v>
      </c>
      <c r="H1747" s="795">
        <f t="shared" si="111"/>
        <v>3350268.1834629951</v>
      </c>
      <c r="I1747" s="792">
        <f t="shared" si="112"/>
        <v>0</v>
      </c>
      <c r="J1747" s="792"/>
      <c r="K1747" s="812"/>
      <c r="L1747" s="796"/>
      <c r="M1747" s="812"/>
      <c r="N1747" s="796"/>
      <c r="O1747" s="796"/>
    </row>
    <row r="1748" spans="3:15">
      <c r="C1748" s="788">
        <f>IF(D1715="","-",+C1747+1)</f>
        <v>2042</v>
      </c>
      <c r="D1748" s="736">
        <f t="shared" si="108"/>
        <v>12378549.271428581</v>
      </c>
      <c r="E1748" s="789">
        <f t="shared" si="113"/>
        <v>1456299.9142857143</v>
      </c>
      <c r="F1748" s="736">
        <f t="shared" si="109"/>
        <v>10922249.357142868</v>
      </c>
      <c r="G1748" s="794">
        <f t="shared" si="110"/>
        <v>3139827.2646655198</v>
      </c>
      <c r="H1748" s="795">
        <f t="shared" si="111"/>
        <v>3139827.2646655198</v>
      </c>
      <c r="I1748" s="792">
        <f t="shared" si="112"/>
        <v>0</v>
      </c>
      <c r="J1748" s="792"/>
      <c r="K1748" s="812"/>
      <c r="L1748" s="796"/>
      <c r="M1748" s="812"/>
      <c r="N1748" s="796"/>
      <c r="O1748" s="796"/>
    </row>
    <row r="1749" spans="3:15">
      <c r="C1749" s="788">
        <f>IF(D1715="","-",+C1748+1)</f>
        <v>2043</v>
      </c>
      <c r="D1749" s="736">
        <f t="shared" si="108"/>
        <v>10922249.357142868</v>
      </c>
      <c r="E1749" s="789">
        <f t="shared" si="113"/>
        <v>1456299.9142857143</v>
      </c>
      <c r="F1749" s="736">
        <f t="shared" si="109"/>
        <v>9465949.4428571537</v>
      </c>
      <c r="G1749" s="790">
        <f t="shared" si="110"/>
        <v>2929386.3458680445</v>
      </c>
      <c r="H1749" s="795">
        <f t="shared" si="111"/>
        <v>2929386.3458680445</v>
      </c>
      <c r="I1749" s="792">
        <f t="shared" si="112"/>
        <v>0</v>
      </c>
      <c r="J1749" s="792"/>
      <c r="K1749" s="812"/>
      <c r="L1749" s="796"/>
      <c r="M1749" s="812"/>
      <c r="N1749" s="796"/>
      <c r="O1749" s="796"/>
    </row>
    <row r="1750" spans="3:15">
      <c r="C1750" s="788">
        <f>IF(D1715="","-",+C1749+1)</f>
        <v>2044</v>
      </c>
      <c r="D1750" s="736">
        <f t="shared" si="108"/>
        <v>9465949.4428571537</v>
      </c>
      <c r="E1750" s="789">
        <f t="shared" si="113"/>
        <v>1456299.9142857143</v>
      </c>
      <c r="F1750" s="736">
        <f t="shared" si="109"/>
        <v>8009649.5285714399</v>
      </c>
      <c r="G1750" s="794">
        <f t="shared" si="110"/>
        <v>2718945.4270705692</v>
      </c>
      <c r="H1750" s="795">
        <f t="shared" si="111"/>
        <v>2718945.4270705692</v>
      </c>
      <c r="I1750" s="792">
        <f t="shared" si="112"/>
        <v>0</v>
      </c>
      <c r="J1750" s="792"/>
      <c r="K1750" s="812"/>
      <c r="L1750" s="796"/>
      <c r="M1750" s="812"/>
      <c r="N1750" s="796"/>
      <c r="O1750" s="796"/>
    </row>
    <row r="1751" spans="3:15">
      <c r="C1751" s="788">
        <f>IF(D1715="","-",+C1750+1)</f>
        <v>2045</v>
      </c>
      <c r="D1751" s="736">
        <f t="shared" si="108"/>
        <v>8009649.5285714399</v>
      </c>
      <c r="E1751" s="789">
        <f t="shared" si="113"/>
        <v>1456299.9142857143</v>
      </c>
      <c r="F1751" s="736">
        <f t="shared" si="109"/>
        <v>6553349.6142857261</v>
      </c>
      <c r="G1751" s="794">
        <f t="shared" si="110"/>
        <v>2508504.5082730935</v>
      </c>
      <c r="H1751" s="795">
        <f t="shared" si="111"/>
        <v>2508504.5082730935</v>
      </c>
      <c r="I1751" s="792">
        <f t="shared" si="112"/>
        <v>0</v>
      </c>
      <c r="J1751" s="792"/>
      <c r="K1751" s="812"/>
      <c r="L1751" s="796"/>
      <c r="M1751" s="812"/>
      <c r="N1751" s="796"/>
      <c r="O1751" s="796"/>
    </row>
    <row r="1752" spans="3:15">
      <c r="C1752" s="788">
        <f>IF(D1715="","-",+C1751+1)</f>
        <v>2046</v>
      </c>
      <c r="D1752" s="736">
        <f t="shared" si="108"/>
        <v>6553349.6142857261</v>
      </c>
      <c r="E1752" s="789">
        <f t="shared" si="113"/>
        <v>1456299.9142857143</v>
      </c>
      <c r="F1752" s="736">
        <f t="shared" si="109"/>
        <v>5097049.7000000123</v>
      </c>
      <c r="G1752" s="794">
        <f t="shared" si="110"/>
        <v>2298063.5894756182</v>
      </c>
      <c r="H1752" s="795">
        <f t="shared" si="111"/>
        <v>2298063.5894756182</v>
      </c>
      <c r="I1752" s="792">
        <f t="shared" si="112"/>
        <v>0</v>
      </c>
      <c r="J1752" s="792"/>
      <c r="K1752" s="812"/>
      <c r="L1752" s="796"/>
      <c r="M1752" s="812"/>
      <c r="N1752" s="796"/>
      <c r="O1752" s="796"/>
    </row>
    <row r="1753" spans="3:15">
      <c r="C1753" s="788">
        <f>IF(D1715="","-",+C1752+1)</f>
        <v>2047</v>
      </c>
      <c r="D1753" s="736">
        <f t="shared" si="108"/>
        <v>5097049.7000000123</v>
      </c>
      <c r="E1753" s="789">
        <f t="shared" si="113"/>
        <v>1456299.9142857143</v>
      </c>
      <c r="F1753" s="736">
        <f t="shared" si="109"/>
        <v>3640749.785714298</v>
      </c>
      <c r="G1753" s="794">
        <f t="shared" si="110"/>
        <v>2087622.6706781425</v>
      </c>
      <c r="H1753" s="795">
        <f t="shared" si="111"/>
        <v>2087622.6706781425</v>
      </c>
      <c r="I1753" s="792">
        <f t="shared" si="112"/>
        <v>0</v>
      </c>
      <c r="J1753" s="792"/>
      <c r="K1753" s="812"/>
      <c r="L1753" s="796"/>
      <c r="M1753" s="812"/>
      <c r="N1753" s="796"/>
      <c r="O1753" s="796"/>
    </row>
    <row r="1754" spans="3:15">
      <c r="C1754" s="788">
        <f>IF(D1715="","-",+C1753+1)</f>
        <v>2048</v>
      </c>
      <c r="D1754" s="736">
        <f t="shared" si="108"/>
        <v>3640749.785714298</v>
      </c>
      <c r="E1754" s="789">
        <f t="shared" si="113"/>
        <v>1456299.9142857143</v>
      </c>
      <c r="F1754" s="736">
        <f t="shared" si="109"/>
        <v>2184449.8714285837</v>
      </c>
      <c r="G1754" s="794">
        <f t="shared" si="110"/>
        <v>1877181.7518806672</v>
      </c>
      <c r="H1754" s="795">
        <f t="shared" si="111"/>
        <v>1877181.7518806672</v>
      </c>
      <c r="I1754" s="792">
        <f t="shared" si="112"/>
        <v>0</v>
      </c>
      <c r="J1754" s="792"/>
      <c r="K1754" s="812"/>
      <c r="L1754" s="796"/>
      <c r="M1754" s="812"/>
      <c r="N1754" s="796"/>
      <c r="O1754" s="796"/>
    </row>
    <row r="1755" spans="3:15">
      <c r="C1755" s="788">
        <f>IF(D1715="","-",+C1754+1)</f>
        <v>2049</v>
      </c>
      <c r="D1755" s="736">
        <f t="shared" si="108"/>
        <v>2184449.8714285837</v>
      </c>
      <c r="E1755" s="789">
        <f t="shared" si="113"/>
        <v>1456299.9142857143</v>
      </c>
      <c r="F1755" s="736">
        <f t="shared" si="109"/>
        <v>728149.95714286948</v>
      </c>
      <c r="G1755" s="794">
        <f t="shared" si="110"/>
        <v>1666740.8330831917</v>
      </c>
      <c r="H1755" s="795">
        <f t="shared" si="111"/>
        <v>1666740.8330831917</v>
      </c>
      <c r="I1755" s="792">
        <f t="shared" si="112"/>
        <v>0</v>
      </c>
      <c r="J1755" s="792"/>
      <c r="K1755" s="812"/>
      <c r="L1755" s="796"/>
      <c r="M1755" s="812"/>
      <c r="N1755" s="796"/>
      <c r="O1755" s="796"/>
    </row>
    <row r="1756" spans="3:15">
      <c r="C1756" s="788">
        <f>IF(D1715="","-",+C1755+1)</f>
        <v>2050</v>
      </c>
      <c r="D1756" s="736">
        <f t="shared" si="108"/>
        <v>728149.95714286948</v>
      </c>
      <c r="E1756" s="789">
        <f t="shared" si="113"/>
        <v>728149.95714286948</v>
      </c>
      <c r="F1756" s="736">
        <f t="shared" si="109"/>
        <v>0</v>
      </c>
      <c r="G1756" s="794">
        <f t="shared" si="110"/>
        <v>780760.18684223923</v>
      </c>
      <c r="H1756" s="795">
        <f t="shared" si="111"/>
        <v>780760.18684223923</v>
      </c>
      <c r="I1756" s="792">
        <f t="shared" si="112"/>
        <v>0</v>
      </c>
      <c r="J1756" s="792"/>
      <c r="K1756" s="812"/>
      <c r="L1756" s="796"/>
      <c r="M1756" s="812"/>
      <c r="N1756" s="796"/>
      <c r="O1756" s="796"/>
    </row>
    <row r="1757" spans="3:15">
      <c r="C1757" s="788">
        <f>IF(D1715="","-",+C1756+1)</f>
        <v>2051</v>
      </c>
      <c r="D1757" s="736">
        <f t="shared" si="108"/>
        <v>0</v>
      </c>
      <c r="E1757" s="789">
        <f t="shared" si="113"/>
        <v>0</v>
      </c>
      <c r="F1757" s="736">
        <f t="shared" si="109"/>
        <v>0</v>
      </c>
      <c r="G1757" s="794">
        <f t="shared" si="110"/>
        <v>0</v>
      </c>
      <c r="H1757" s="795">
        <f t="shared" si="111"/>
        <v>0</v>
      </c>
      <c r="I1757" s="792">
        <f t="shared" si="112"/>
        <v>0</v>
      </c>
      <c r="J1757" s="792"/>
      <c r="K1757" s="812"/>
      <c r="L1757" s="796"/>
      <c r="M1757" s="812"/>
      <c r="N1757" s="796"/>
      <c r="O1757" s="796"/>
    </row>
    <row r="1758" spans="3:15">
      <c r="C1758" s="788">
        <f>IF(D1715="","-",+C1757+1)</f>
        <v>2052</v>
      </c>
      <c r="D1758" s="736">
        <f t="shared" si="108"/>
        <v>0</v>
      </c>
      <c r="E1758" s="789">
        <f t="shared" si="113"/>
        <v>0</v>
      </c>
      <c r="F1758" s="736">
        <f t="shared" si="109"/>
        <v>0</v>
      </c>
      <c r="G1758" s="794">
        <f t="shared" si="110"/>
        <v>0</v>
      </c>
      <c r="H1758" s="795">
        <f t="shared" si="111"/>
        <v>0</v>
      </c>
      <c r="I1758" s="792">
        <f t="shared" si="112"/>
        <v>0</v>
      </c>
      <c r="J1758" s="792"/>
      <c r="K1758" s="812"/>
      <c r="L1758" s="796"/>
      <c r="M1758" s="812"/>
      <c r="N1758" s="796"/>
      <c r="O1758" s="796"/>
    </row>
    <row r="1759" spans="3:15">
      <c r="C1759" s="788">
        <f>IF(D1715="","-",+C1758+1)</f>
        <v>2053</v>
      </c>
      <c r="D1759" s="736">
        <f t="shared" si="108"/>
        <v>0</v>
      </c>
      <c r="E1759" s="789">
        <f t="shared" si="113"/>
        <v>0</v>
      </c>
      <c r="F1759" s="736">
        <f t="shared" si="109"/>
        <v>0</v>
      </c>
      <c r="G1759" s="794">
        <f t="shared" si="110"/>
        <v>0</v>
      </c>
      <c r="H1759" s="795">
        <f t="shared" si="111"/>
        <v>0</v>
      </c>
      <c r="I1759" s="792">
        <f t="shared" si="112"/>
        <v>0</v>
      </c>
      <c r="J1759" s="792"/>
      <c r="K1759" s="812"/>
      <c r="L1759" s="796"/>
      <c r="M1759" s="812"/>
      <c r="N1759" s="796"/>
      <c r="O1759" s="796"/>
    </row>
    <row r="1760" spans="3:15">
      <c r="C1760" s="788">
        <f>IF(D1715="","-",+C1759+1)</f>
        <v>2054</v>
      </c>
      <c r="D1760" s="736">
        <f t="shared" si="108"/>
        <v>0</v>
      </c>
      <c r="E1760" s="789">
        <f t="shared" si="113"/>
        <v>0</v>
      </c>
      <c r="F1760" s="736">
        <f t="shared" si="109"/>
        <v>0</v>
      </c>
      <c r="G1760" s="794">
        <f t="shared" si="110"/>
        <v>0</v>
      </c>
      <c r="H1760" s="795">
        <f t="shared" si="111"/>
        <v>0</v>
      </c>
      <c r="I1760" s="792">
        <f t="shared" si="112"/>
        <v>0</v>
      </c>
      <c r="J1760" s="792"/>
      <c r="K1760" s="812"/>
      <c r="L1760" s="796"/>
      <c r="M1760" s="812"/>
      <c r="N1760" s="796"/>
      <c r="O1760" s="796"/>
    </row>
    <row r="1761" spans="3:15">
      <c r="C1761" s="788">
        <f>IF(D1715="","-",+C1760+1)</f>
        <v>2055</v>
      </c>
      <c r="D1761" s="736">
        <f t="shared" si="108"/>
        <v>0</v>
      </c>
      <c r="E1761" s="789">
        <f t="shared" si="113"/>
        <v>0</v>
      </c>
      <c r="F1761" s="736">
        <f t="shared" si="109"/>
        <v>0</v>
      </c>
      <c r="G1761" s="794">
        <f t="shared" si="110"/>
        <v>0</v>
      </c>
      <c r="H1761" s="795">
        <f t="shared" si="111"/>
        <v>0</v>
      </c>
      <c r="I1761" s="792">
        <f t="shared" si="112"/>
        <v>0</v>
      </c>
      <c r="J1761" s="792"/>
      <c r="K1761" s="812"/>
      <c r="L1761" s="796"/>
      <c r="M1761" s="812"/>
      <c r="N1761" s="796"/>
      <c r="O1761" s="796"/>
    </row>
    <row r="1762" spans="3:15">
      <c r="C1762" s="788">
        <f>IF(D1715="","-",+C1761+1)</f>
        <v>2056</v>
      </c>
      <c r="D1762" s="736">
        <f t="shared" si="108"/>
        <v>0</v>
      </c>
      <c r="E1762" s="789">
        <f t="shared" si="113"/>
        <v>0</v>
      </c>
      <c r="F1762" s="736">
        <f t="shared" si="109"/>
        <v>0</v>
      </c>
      <c r="G1762" s="794">
        <f t="shared" si="110"/>
        <v>0</v>
      </c>
      <c r="H1762" s="795">
        <f t="shared" si="111"/>
        <v>0</v>
      </c>
      <c r="I1762" s="792">
        <f t="shared" si="112"/>
        <v>0</v>
      </c>
      <c r="J1762" s="792"/>
      <c r="K1762" s="812"/>
      <c r="L1762" s="796"/>
      <c r="M1762" s="812"/>
      <c r="N1762" s="796"/>
      <c r="O1762" s="796"/>
    </row>
    <row r="1763" spans="3:15">
      <c r="C1763" s="788">
        <f>IF(D1715="","-",+C1762+1)</f>
        <v>2057</v>
      </c>
      <c r="D1763" s="736">
        <f t="shared" si="108"/>
        <v>0</v>
      </c>
      <c r="E1763" s="789">
        <f t="shared" si="113"/>
        <v>0</v>
      </c>
      <c r="F1763" s="736">
        <f t="shared" si="109"/>
        <v>0</v>
      </c>
      <c r="G1763" s="794">
        <f t="shared" si="110"/>
        <v>0</v>
      </c>
      <c r="H1763" s="795">
        <f t="shared" si="111"/>
        <v>0</v>
      </c>
      <c r="I1763" s="792">
        <f t="shared" si="112"/>
        <v>0</v>
      </c>
      <c r="J1763" s="792"/>
      <c r="K1763" s="812"/>
      <c r="L1763" s="796"/>
      <c r="M1763" s="812"/>
      <c r="N1763" s="796"/>
      <c r="O1763" s="796"/>
    </row>
    <row r="1764" spans="3:15">
      <c r="C1764" s="788">
        <f>IF(D1715="","-",+C1763+1)</f>
        <v>2058</v>
      </c>
      <c r="D1764" s="736">
        <f t="shared" si="108"/>
        <v>0</v>
      </c>
      <c r="E1764" s="789">
        <f t="shared" si="113"/>
        <v>0</v>
      </c>
      <c r="F1764" s="736">
        <f t="shared" si="109"/>
        <v>0</v>
      </c>
      <c r="G1764" s="794">
        <f t="shared" si="110"/>
        <v>0</v>
      </c>
      <c r="H1764" s="795">
        <f t="shared" si="111"/>
        <v>0</v>
      </c>
      <c r="I1764" s="792">
        <f t="shared" si="112"/>
        <v>0</v>
      </c>
      <c r="J1764" s="792"/>
      <c r="K1764" s="812"/>
      <c r="L1764" s="796"/>
      <c r="M1764" s="812"/>
      <c r="N1764" s="796"/>
      <c r="O1764" s="796"/>
    </row>
    <row r="1765" spans="3:15">
      <c r="C1765" s="788">
        <f>IF(D1715="","-",+C1764+1)</f>
        <v>2059</v>
      </c>
      <c r="D1765" s="736">
        <f t="shared" si="108"/>
        <v>0</v>
      </c>
      <c r="E1765" s="789">
        <f t="shared" si="113"/>
        <v>0</v>
      </c>
      <c r="F1765" s="736">
        <f t="shared" si="109"/>
        <v>0</v>
      </c>
      <c r="G1765" s="794">
        <f t="shared" si="110"/>
        <v>0</v>
      </c>
      <c r="H1765" s="795">
        <f t="shared" si="111"/>
        <v>0</v>
      </c>
      <c r="I1765" s="792">
        <f t="shared" si="112"/>
        <v>0</v>
      </c>
      <c r="J1765" s="792"/>
      <c r="K1765" s="812"/>
      <c r="L1765" s="796"/>
      <c r="M1765" s="812"/>
      <c r="N1765" s="796"/>
      <c r="O1765" s="796"/>
    </row>
    <row r="1766" spans="3:15">
      <c r="C1766" s="788">
        <f>IF(D1715="","-",+C1765+1)</f>
        <v>2060</v>
      </c>
      <c r="D1766" s="736">
        <f t="shared" si="108"/>
        <v>0</v>
      </c>
      <c r="E1766" s="789">
        <f t="shared" si="113"/>
        <v>0</v>
      </c>
      <c r="F1766" s="736">
        <f t="shared" si="109"/>
        <v>0</v>
      </c>
      <c r="G1766" s="794">
        <f t="shared" si="110"/>
        <v>0</v>
      </c>
      <c r="H1766" s="795">
        <f t="shared" si="111"/>
        <v>0</v>
      </c>
      <c r="I1766" s="792">
        <f t="shared" si="112"/>
        <v>0</v>
      </c>
      <c r="J1766" s="792"/>
      <c r="K1766" s="812"/>
      <c r="L1766" s="796"/>
      <c r="M1766" s="812"/>
      <c r="N1766" s="796"/>
      <c r="O1766" s="796"/>
    </row>
    <row r="1767" spans="3:15">
      <c r="C1767" s="788">
        <f>IF(D1715="","-",+C1766+1)</f>
        <v>2061</v>
      </c>
      <c r="D1767" s="736">
        <f t="shared" si="108"/>
        <v>0</v>
      </c>
      <c r="E1767" s="789">
        <f t="shared" si="113"/>
        <v>0</v>
      </c>
      <c r="F1767" s="736">
        <f t="shared" si="109"/>
        <v>0</v>
      </c>
      <c r="G1767" s="794">
        <f t="shared" si="110"/>
        <v>0</v>
      </c>
      <c r="H1767" s="795">
        <f t="shared" si="111"/>
        <v>0</v>
      </c>
      <c r="I1767" s="792">
        <f t="shared" si="112"/>
        <v>0</v>
      </c>
      <c r="J1767" s="792"/>
      <c r="K1767" s="812"/>
      <c r="L1767" s="796"/>
      <c r="M1767" s="812"/>
      <c r="N1767" s="796"/>
      <c r="O1767" s="796"/>
    </row>
    <row r="1768" spans="3:15">
      <c r="C1768" s="788">
        <f>IF(D1715="","-",+C1767+1)</f>
        <v>2062</v>
      </c>
      <c r="D1768" s="736">
        <f t="shared" si="108"/>
        <v>0</v>
      </c>
      <c r="E1768" s="789">
        <f t="shared" si="113"/>
        <v>0</v>
      </c>
      <c r="F1768" s="736">
        <f t="shared" si="109"/>
        <v>0</v>
      </c>
      <c r="G1768" s="794">
        <f t="shared" si="110"/>
        <v>0</v>
      </c>
      <c r="H1768" s="795">
        <f t="shared" si="111"/>
        <v>0</v>
      </c>
      <c r="I1768" s="792">
        <f t="shared" si="112"/>
        <v>0</v>
      </c>
      <c r="J1768" s="792"/>
      <c r="K1768" s="812"/>
      <c r="L1768" s="796"/>
      <c r="M1768" s="812"/>
      <c r="N1768" s="796"/>
      <c r="O1768" s="796"/>
    </row>
    <row r="1769" spans="3:15">
      <c r="C1769" s="788">
        <f>IF(D1715="","-",+C1768+1)</f>
        <v>2063</v>
      </c>
      <c r="D1769" s="736">
        <f t="shared" si="108"/>
        <v>0</v>
      </c>
      <c r="E1769" s="789">
        <f t="shared" si="113"/>
        <v>0</v>
      </c>
      <c r="F1769" s="736">
        <f t="shared" si="109"/>
        <v>0</v>
      </c>
      <c r="G1769" s="794">
        <f t="shared" si="110"/>
        <v>0</v>
      </c>
      <c r="H1769" s="795">
        <f t="shared" si="111"/>
        <v>0</v>
      </c>
      <c r="I1769" s="792">
        <f t="shared" si="112"/>
        <v>0</v>
      </c>
      <c r="J1769" s="792"/>
      <c r="K1769" s="812"/>
      <c r="L1769" s="796"/>
      <c r="M1769" s="812"/>
      <c r="N1769" s="796"/>
      <c r="O1769" s="796"/>
    </row>
    <row r="1770" spans="3:15">
      <c r="C1770" s="788">
        <f>IF(D1715="","-",+C1769+1)</f>
        <v>2064</v>
      </c>
      <c r="D1770" s="736">
        <f t="shared" si="108"/>
        <v>0</v>
      </c>
      <c r="E1770" s="789">
        <f t="shared" si="113"/>
        <v>0</v>
      </c>
      <c r="F1770" s="736">
        <f t="shared" si="109"/>
        <v>0</v>
      </c>
      <c r="G1770" s="794">
        <f t="shared" si="110"/>
        <v>0</v>
      </c>
      <c r="H1770" s="795">
        <f t="shared" si="111"/>
        <v>0</v>
      </c>
      <c r="I1770" s="792">
        <f t="shared" si="112"/>
        <v>0</v>
      </c>
      <c r="J1770" s="792"/>
      <c r="K1770" s="812"/>
      <c r="L1770" s="796"/>
      <c r="M1770" s="812"/>
      <c r="N1770" s="796"/>
      <c r="O1770" s="796"/>
    </row>
    <row r="1771" spans="3:15">
      <c r="C1771" s="788">
        <f>IF(D1715="","-",+C1770+1)</f>
        <v>2065</v>
      </c>
      <c r="D1771" s="736">
        <f t="shared" si="108"/>
        <v>0</v>
      </c>
      <c r="E1771" s="789">
        <f t="shared" si="113"/>
        <v>0</v>
      </c>
      <c r="F1771" s="736">
        <f t="shared" si="109"/>
        <v>0</v>
      </c>
      <c r="G1771" s="794">
        <f t="shared" si="110"/>
        <v>0</v>
      </c>
      <c r="H1771" s="795">
        <f t="shared" si="111"/>
        <v>0</v>
      </c>
      <c r="I1771" s="792">
        <f t="shared" si="112"/>
        <v>0</v>
      </c>
      <c r="J1771" s="792"/>
      <c r="K1771" s="812"/>
      <c r="L1771" s="796"/>
      <c r="M1771" s="812"/>
      <c r="N1771" s="796"/>
      <c r="O1771" s="796"/>
    </row>
    <row r="1772" spans="3:15">
      <c r="C1772" s="788">
        <f>IF(D1715="","-",+C1771+1)</f>
        <v>2066</v>
      </c>
      <c r="D1772" s="736">
        <f t="shared" si="108"/>
        <v>0</v>
      </c>
      <c r="E1772" s="789">
        <f t="shared" si="113"/>
        <v>0</v>
      </c>
      <c r="F1772" s="736">
        <f t="shared" si="109"/>
        <v>0</v>
      </c>
      <c r="G1772" s="794">
        <f t="shared" si="110"/>
        <v>0</v>
      </c>
      <c r="H1772" s="795">
        <f t="shared" si="111"/>
        <v>0</v>
      </c>
      <c r="I1772" s="792">
        <f t="shared" si="112"/>
        <v>0</v>
      </c>
      <c r="J1772" s="792"/>
      <c r="K1772" s="812"/>
      <c r="L1772" s="796"/>
      <c r="M1772" s="812"/>
      <c r="N1772" s="796"/>
      <c r="O1772" s="796"/>
    </row>
    <row r="1773" spans="3:15">
      <c r="C1773" s="788">
        <f>IF(D1715="","-",+C1772+1)</f>
        <v>2067</v>
      </c>
      <c r="D1773" s="736">
        <f t="shared" si="108"/>
        <v>0</v>
      </c>
      <c r="E1773" s="789">
        <f t="shared" si="113"/>
        <v>0</v>
      </c>
      <c r="F1773" s="736">
        <f t="shared" si="109"/>
        <v>0</v>
      </c>
      <c r="G1773" s="794">
        <f t="shared" si="110"/>
        <v>0</v>
      </c>
      <c r="H1773" s="795">
        <f t="shared" si="111"/>
        <v>0</v>
      </c>
      <c r="I1773" s="792">
        <f t="shared" si="112"/>
        <v>0</v>
      </c>
      <c r="J1773" s="792"/>
      <c r="K1773" s="812"/>
      <c r="L1773" s="796"/>
      <c r="M1773" s="812"/>
      <c r="N1773" s="796"/>
      <c r="O1773" s="796"/>
    </row>
    <row r="1774" spans="3:15">
      <c r="C1774" s="788">
        <f>IF(D1715="","-",+C1773+1)</f>
        <v>2068</v>
      </c>
      <c r="D1774" s="736">
        <f t="shared" si="108"/>
        <v>0</v>
      </c>
      <c r="E1774" s="789">
        <f t="shared" si="113"/>
        <v>0</v>
      </c>
      <c r="F1774" s="736">
        <f t="shared" si="109"/>
        <v>0</v>
      </c>
      <c r="G1774" s="794">
        <f t="shared" si="110"/>
        <v>0</v>
      </c>
      <c r="H1774" s="795">
        <f t="shared" si="111"/>
        <v>0</v>
      </c>
      <c r="I1774" s="792">
        <f t="shared" si="112"/>
        <v>0</v>
      </c>
      <c r="J1774" s="792"/>
      <c r="K1774" s="812"/>
      <c r="L1774" s="796"/>
      <c r="M1774" s="812"/>
      <c r="N1774" s="796"/>
      <c r="O1774" s="796"/>
    </row>
    <row r="1775" spans="3:15">
      <c r="C1775" s="788">
        <f>IF(D1715="","-",+C1774+1)</f>
        <v>2069</v>
      </c>
      <c r="D1775" s="736">
        <f t="shared" si="108"/>
        <v>0</v>
      </c>
      <c r="E1775" s="789">
        <f t="shared" si="113"/>
        <v>0</v>
      </c>
      <c r="F1775" s="736">
        <f t="shared" si="109"/>
        <v>0</v>
      </c>
      <c r="G1775" s="794">
        <f t="shared" si="110"/>
        <v>0</v>
      </c>
      <c r="H1775" s="795">
        <f t="shared" si="111"/>
        <v>0</v>
      </c>
      <c r="I1775" s="792">
        <f t="shared" si="112"/>
        <v>0</v>
      </c>
      <c r="J1775" s="792"/>
      <c r="K1775" s="812"/>
      <c r="L1775" s="796"/>
      <c r="M1775" s="812"/>
      <c r="N1775" s="796"/>
      <c r="O1775" s="796"/>
    </row>
    <row r="1776" spans="3:15">
      <c r="C1776" s="788">
        <f>IF(D1715="","-",+C1775+1)</f>
        <v>2070</v>
      </c>
      <c r="D1776" s="736">
        <f t="shared" si="108"/>
        <v>0</v>
      </c>
      <c r="E1776" s="789">
        <f t="shared" si="113"/>
        <v>0</v>
      </c>
      <c r="F1776" s="736">
        <f t="shared" si="109"/>
        <v>0</v>
      </c>
      <c r="G1776" s="794">
        <f t="shared" si="110"/>
        <v>0</v>
      </c>
      <c r="H1776" s="795">
        <f t="shared" si="111"/>
        <v>0</v>
      </c>
      <c r="I1776" s="792">
        <f t="shared" si="112"/>
        <v>0</v>
      </c>
      <c r="J1776" s="792"/>
      <c r="K1776" s="812"/>
      <c r="L1776" s="796"/>
      <c r="M1776" s="812"/>
      <c r="N1776" s="796"/>
      <c r="O1776" s="796"/>
    </row>
    <row r="1777" spans="1:16">
      <c r="C1777" s="788">
        <f>IF(D1715="","-",+C1776+1)</f>
        <v>2071</v>
      </c>
      <c r="D1777" s="736">
        <f t="shared" si="108"/>
        <v>0</v>
      </c>
      <c r="E1777" s="789">
        <f t="shared" si="113"/>
        <v>0</v>
      </c>
      <c r="F1777" s="736">
        <f t="shared" si="109"/>
        <v>0</v>
      </c>
      <c r="G1777" s="794">
        <f t="shared" si="110"/>
        <v>0</v>
      </c>
      <c r="H1777" s="795">
        <f t="shared" si="111"/>
        <v>0</v>
      </c>
      <c r="I1777" s="792">
        <f t="shared" si="112"/>
        <v>0</v>
      </c>
      <c r="J1777" s="792"/>
      <c r="K1777" s="812"/>
      <c r="L1777" s="796"/>
      <c r="M1777" s="812"/>
      <c r="N1777" s="796"/>
      <c r="O1777" s="796"/>
    </row>
    <row r="1778" spans="1:16">
      <c r="C1778" s="788">
        <f>IF(D1715="","-",+C1777+1)</f>
        <v>2072</v>
      </c>
      <c r="D1778" s="736">
        <f t="shared" si="108"/>
        <v>0</v>
      </c>
      <c r="E1778" s="789">
        <f t="shared" si="113"/>
        <v>0</v>
      </c>
      <c r="F1778" s="736">
        <f t="shared" si="109"/>
        <v>0</v>
      </c>
      <c r="G1778" s="794">
        <f t="shared" si="110"/>
        <v>0</v>
      </c>
      <c r="H1778" s="795">
        <f t="shared" si="111"/>
        <v>0</v>
      </c>
      <c r="I1778" s="792">
        <f t="shared" si="112"/>
        <v>0</v>
      </c>
      <c r="J1778" s="792"/>
      <c r="K1778" s="812"/>
      <c r="L1778" s="796"/>
      <c r="M1778" s="812"/>
      <c r="N1778" s="796"/>
      <c r="O1778" s="796"/>
    </row>
    <row r="1779" spans="1:16">
      <c r="C1779" s="788">
        <f>IF(D1715="","-",+C1778+1)</f>
        <v>2073</v>
      </c>
      <c r="D1779" s="736">
        <f t="shared" si="108"/>
        <v>0</v>
      </c>
      <c r="E1779" s="789">
        <f t="shared" si="113"/>
        <v>0</v>
      </c>
      <c r="F1779" s="736">
        <f t="shared" si="109"/>
        <v>0</v>
      </c>
      <c r="G1779" s="794">
        <f t="shared" si="110"/>
        <v>0</v>
      </c>
      <c r="H1779" s="795">
        <f t="shared" si="111"/>
        <v>0</v>
      </c>
      <c r="I1779" s="792">
        <f t="shared" si="112"/>
        <v>0</v>
      </c>
      <c r="J1779" s="792"/>
      <c r="K1779" s="812"/>
      <c r="L1779" s="796"/>
      <c r="M1779" s="812"/>
      <c r="N1779" s="796"/>
      <c r="O1779" s="796"/>
    </row>
    <row r="1780" spans="1:16" ht="13.5" thickBot="1">
      <c r="C1780" s="798">
        <f>IF(D1715="","-",+C1779+1)</f>
        <v>2074</v>
      </c>
      <c r="D1780" s="799">
        <f t="shared" si="108"/>
        <v>0</v>
      </c>
      <c r="E1780" s="800">
        <f t="shared" si="113"/>
        <v>0</v>
      </c>
      <c r="F1780" s="799">
        <f t="shared" si="109"/>
        <v>0</v>
      </c>
      <c r="G1780" s="801">
        <f t="shared" si="110"/>
        <v>0</v>
      </c>
      <c r="H1780" s="801">
        <f t="shared" si="111"/>
        <v>0</v>
      </c>
      <c r="I1780" s="802">
        <f t="shared" si="112"/>
        <v>0</v>
      </c>
      <c r="J1780" s="792"/>
      <c r="K1780" s="813"/>
      <c r="L1780" s="803"/>
      <c r="M1780" s="813"/>
      <c r="N1780" s="803"/>
      <c r="O1780" s="803"/>
    </row>
    <row r="1781" spans="1:16">
      <c r="C1781" s="736" t="s">
        <v>83</v>
      </c>
      <c r="D1781" s="730"/>
      <c r="E1781" s="730">
        <f>SUM(E1721:E1780)</f>
        <v>50970496.999999993</v>
      </c>
      <c r="F1781" s="730"/>
      <c r="G1781" s="730">
        <f>SUM(G1721:G1780)</f>
        <v>183548275.84240964</v>
      </c>
      <c r="H1781" s="730">
        <f>SUM(H1721:H1780)</f>
        <v>183548275.84240964</v>
      </c>
      <c r="I1781" s="730">
        <f>SUM(I1721:I1780)</f>
        <v>0</v>
      </c>
      <c r="J1781" s="730"/>
      <c r="K1781" s="730"/>
      <c r="L1781" s="730"/>
      <c r="M1781" s="730"/>
      <c r="N1781" s="730"/>
      <c r="O1781" s="313"/>
    </row>
    <row r="1782" spans="1:16">
      <c r="D1782" s="538"/>
      <c r="E1782" s="313"/>
      <c r="F1782" s="313"/>
      <c r="G1782" s="313"/>
      <c r="H1782" s="708"/>
      <c r="I1782" s="708"/>
      <c r="J1782" s="730"/>
      <c r="K1782" s="708"/>
      <c r="L1782" s="708"/>
      <c r="M1782" s="708"/>
      <c r="N1782" s="708"/>
      <c r="O1782" s="313"/>
    </row>
    <row r="1783" spans="1:16">
      <c r="C1783" s="313" t="s">
        <v>13</v>
      </c>
      <c r="D1783" s="538"/>
      <c r="E1783" s="313"/>
      <c r="F1783" s="313"/>
      <c r="G1783" s="313"/>
      <c r="H1783" s="708"/>
      <c r="I1783" s="708"/>
      <c r="J1783" s="730"/>
      <c r="K1783" s="708"/>
      <c r="L1783" s="708"/>
      <c r="M1783" s="708"/>
      <c r="N1783" s="708"/>
      <c r="O1783" s="313"/>
    </row>
    <row r="1784" spans="1:16">
      <c r="C1784" s="313"/>
      <c r="D1784" s="538"/>
      <c r="E1784" s="313"/>
      <c r="F1784" s="313"/>
      <c r="G1784" s="313"/>
      <c r="H1784" s="708"/>
      <c r="I1784" s="708"/>
      <c r="J1784" s="730"/>
      <c r="K1784" s="708"/>
      <c r="L1784" s="708"/>
      <c r="M1784" s="708"/>
      <c r="N1784" s="708"/>
      <c r="O1784" s="313"/>
    </row>
    <row r="1785" spans="1:16">
      <c r="C1785" s="749" t="s">
        <v>14</v>
      </c>
      <c r="D1785" s="736"/>
      <c r="E1785" s="736"/>
      <c r="F1785" s="736"/>
      <c r="G1785" s="730"/>
      <c r="H1785" s="730"/>
      <c r="I1785" s="804"/>
      <c r="J1785" s="804"/>
      <c r="K1785" s="804"/>
      <c r="L1785" s="804"/>
      <c r="M1785" s="804"/>
      <c r="N1785" s="804"/>
      <c r="O1785" s="313"/>
    </row>
    <row r="1786" spans="1:16">
      <c r="C1786" s="735" t="s">
        <v>263</v>
      </c>
      <c r="D1786" s="736"/>
      <c r="E1786" s="736"/>
      <c r="F1786" s="736"/>
      <c r="G1786" s="730"/>
      <c r="H1786" s="730"/>
      <c r="I1786" s="804"/>
      <c r="J1786" s="804"/>
      <c r="K1786" s="804"/>
      <c r="L1786" s="804"/>
      <c r="M1786" s="804"/>
      <c r="N1786" s="804"/>
      <c r="O1786" s="313"/>
    </row>
    <row r="1787" spans="1:16">
      <c r="C1787" s="735" t="s">
        <v>84</v>
      </c>
      <c r="D1787" s="736"/>
      <c r="E1787" s="736"/>
      <c r="F1787" s="736"/>
      <c r="G1787" s="730"/>
      <c r="H1787" s="730"/>
      <c r="I1787" s="804"/>
      <c r="J1787" s="804"/>
      <c r="K1787" s="804"/>
      <c r="L1787" s="804"/>
      <c r="M1787" s="804"/>
      <c r="N1787" s="804"/>
      <c r="O1787" s="313"/>
    </row>
    <row r="1788" spans="1:16">
      <c r="C1788" s="735"/>
      <c r="D1788" s="736"/>
      <c r="E1788" s="736"/>
      <c r="F1788" s="736"/>
      <c r="G1788" s="730"/>
      <c r="H1788" s="730"/>
      <c r="I1788" s="804"/>
      <c r="J1788" s="804"/>
      <c r="K1788" s="804"/>
      <c r="L1788" s="804"/>
      <c r="M1788" s="804"/>
      <c r="N1788" s="804"/>
      <c r="O1788" s="313"/>
    </row>
    <row r="1789" spans="1:16">
      <c r="C1789" s="1547" t="s">
        <v>6</v>
      </c>
      <c r="D1789" s="1547"/>
      <c r="E1789" s="1547"/>
      <c r="F1789" s="1547"/>
      <c r="G1789" s="1547"/>
      <c r="H1789" s="1547"/>
      <c r="I1789" s="1547"/>
      <c r="J1789" s="1547"/>
      <c r="K1789" s="1547"/>
      <c r="L1789" s="1547"/>
      <c r="M1789" s="1547"/>
      <c r="N1789" s="1547"/>
      <c r="O1789" s="1547"/>
    </row>
    <row r="1790" spans="1:16">
      <c r="C1790" s="1547"/>
      <c r="D1790" s="1547"/>
      <c r="E1790" s="1547"/>
      <c r="F1790" s="1547"/>
      <c r="G1790" s="1547"/>
      <c r="H1790" s="1547"/>
      <c r="I1790" s="1547"/>
      <c r="J1790" s="1547"/>
      <c r="K1790" s="1547"/>
      <c r="L1790" s="1547"/>
      <c r="M1790" s="1547"/>
      <c r="N1790" s="1547"/>
      <c r="O1790" s="1547"/>
    </row>
    <row r="1791" spans="1:16">
      <c r="C1791" s="735"/>
      <c r="D1791" s="736"/>
      <c r="E1791" s="736"/>
      <c r="F1791" s="736"/>
      <c r="G1791" s="730"/>
      <c r="H1791" s="730"/>
    </row>
    <row r="1792" spans="1:16" ht="20.25">
      <c r="A1792" s="737" t="str">
        <f>""&amp;A1716&amp;" Worksheet J -  ATRR PROJECTED Calculation for PJM Projects Charged to Benefiting Zones"</f>
        <v xml:space="preserve"> Worksheet J -  ATRR PROJECTED Calculation for PJM Projects Charged to Benefiting Zones</v>
      </c>
      <c r="B1792" s="347"/>
      <c r="C1792" s="725"/>
      <c r="D1792" s="538"/>
      <c r="E1792" s="313"/>
      <c r="F1792" s="707"/>
      <c r="G1792" s="313"/>
      <c r="H1792" s="708"/>
      <c r="K1792" s="564"/>
      <c r="L1792" s="564"/>
      <c r="M1792" s="564"/>
      <c r="N1792" s="653" t="str">
        <f>"Page "&amp;SUM(P$8:P1792)&amp;" of "</f>
        <v xml:space="preserve">Page 21 of </v>
      </c>
      <c r="O1792" s="654">
        <f>COUNT(P$8:P$56653)</f>
        <v>23</v>
      </c>
      <c r="P1792" s="172">
        <v>1</v>
      </c>
    </row>
    <row r="1793" spans="2:15">
      <c r="B1793" s="347"/>
      <c r="C1793" s="313"/>
      <c r="D1793" s="538"/>
      <c r="E1793" s="313"/>
      <c r="F1793" s="313"/>
      <c r="G1793" s="313"/>
      <c r="H1793" s="708"/>
      <c r="I1793" s="313"/>
      <c r="J1793" s="426"/>
      <c r="K1793" s="313"/>
      <c r="L1793" s="313"/>
      <c r="M1793" s="313"/>
      <c r="N1793" s="313"/>
      <c r="O1793" s="313"/>
    </row>
    <row r="1794" spans="2:15" ht="18">
      <c r="B1794" s="657" t="s">
        <v>466</v>
      </c>
      <c r="C1794" s="739" t="s">
        <v>85</v>
      </c>
      <c r="D1794" s="538"/>
      <c r="E1794" s="313"/>
      <c r="F1794" s="313"/>
      <c r="G1794" s="313"/>
      <c r="H1794" s="708"/>
      <c r="I1794" s="708"/>
      <c r="J1794" s="730"/>
      <c r="K1794" s="708"/>
      <c r="L1794" s="708"/>
      <c r="M1794" s="708"/>
      <c r="N1794" s="708"/>
      <c r="O1794" s="313"/>
    </row>
    <row r="1795" spans="2:15" ht="18.75">
      <c r="B1795" s="657"/>
      <c r="C1795" s="656"/>
      <c r="D1795" s="538"/>
      <c r="E1795" s="313"/>
      <c r="F1795" s="313"/>
      <c r="G1795" s="313"/>
      <c r="H1795" s="708"/>
      <c r="I1795" s="708"/>
      <c r="J1795" s="730"/>
      <c r="K1795" s="708"/>
      <c r="L1795" s="708"/>
      <c r="M1795" s="708"/>
      <c r="N1795" s="708"/>
      <c r="O1795" s="313"/>
    </row>
    <row r="1796" spans="2:15" ht="18.75">
      <c r="B1796" s="657"/>
      <c r="C1796" s="656" t="s">
        <v>86</v>
      </c>
      <c r="D1796" s="538"/>
      <c r="E1796" s="313"/>
      <c r="F1796" s="313"/>
      <c r="G1796" s="313"/>
      <c r="H1796" s="708"/>
      <c r="I1796" s="708"/>
      <c r="J1796" s="730"/>
      <c r="K1796" s="708"/>
      <c r="L1796" s="708"/>
      <c r="M1796" s="708"/>
      <c r="N1796" s="708"/>
      <c r="O1796" s="313"/>
    </row>
    <row r="1797" spans="2:15" ht="15.75" thickBot="1">
      <c r="C1797" s="239"/>
      <c r="D1797" s="538"/>
      <c r="E1797" s="313"/>
      <c r="F1797" s="313"/>
      <c r="G1797" s="313"/>
      <c r="H1797" s="708"/>
      <c r="I1797" s="708"/>
      <c r="J1797" s="730"/>
      <c r="K1797" s="708"/>
      <c r="L1797" s="708"/>
      <c r="M1797" s="708"/>
      <c r="N1797" s="708"/>
      <c r="O1797" s="313"/>
    </row>
    <row r="1798" spans="2:15" ht="15.75">
      <c r="C1798" s="659" t="s">
        <v>87</v>
      </c>
      <c r="D1798" s="538"/>
      <c r="E1798" s="313"/>
      <c r="F1798" s="313"/>
      <c r="G1798" s="806"/>
      <c r="H1798" s="313" t="s">
        <v>66</v>
      </c>
      <c r="I1798" s="313"/>
      <c r="J1798" s="426"/>
      <c r="K1798" s="740" t="s">
        <v>91</v>
      </c>
      <c r="L1798" s="741"/>
      <c r="M1798" s="742"/>
      <c r="N1798" s="743">
        <f>IF(I1804=0,0,VLOOKUP(I1804,C1811:O1870,5))</f>
        <v>7319999.1951224096</v>
      </c>
      <c r="O1798" s="313"/>
    </row>
    <row r="1799" spans="2:15" ht="15.75">
      <c r="C1799" s="659"/>
      <c r="D1799" s="538"/>
      <c r="E1799" s="313"/>
      <c r="F1799" s="313"/>
      <c r="G1799" s="313"/>
      <c r="H1799" s="744"/>
      <c r="I1799" s="744"/>
      <c r="J1799" s="745"/>
      <c r="K1799" s="746" t="s">
        <v>92</v>
      </c>
      <c r="L1799" s="747"/>
      <c r="M1799" s="426"/>
      <c r="N1799" s="748">
        <f>IF(I1804=0,0,VLOOKUP(I1804,C1811:O1870,6))</f>
        <v>7319999.1951224096</v>
      </c>
      <c r="O1799" s="313"/>
    </row>
    <row r="1800" spans="2:15" ht="13.5" thickBot="1">
      <c r="C1800" s="749" t="s">
        <v>88</v>
      </c>
      <c r="D1800" s="1537" t="s">
        <v>829</v>
      </c>
      <c r="E1800" s="1537"/>
      <c r="F1800" s="1537"/>
      <c r="G1800" s="1537"/>
      <c r="H1800" s="1537"/>
      <c r="I1800" s="1537"/>
      <c r="J1800" s="730"/>
      <c r="K1800" s="750" t="s">
        <v>230</v>
      </c>
      <c r="L1800" s="751"/>
      <c r="M1800" s="751"/>
      <c r="N1800" s="752">
        <f>+N1799-N1798</f>
        <v>0</v>
      </c>
      <c r="O1800" s="313"/>
    </row>
    <row r="1801" spans="2:15">
      <c r="C1801" s="753"/>
      <c r="D1801" s="754"/>
      <c r="E1801" s="734"/>
      <c r="F1801" s="734"/>
      <c r="G1801" s="755"/>
      <c r="H1801" s="708"/>
      <c r="I1801" s="708"/>
      <c r="J1801" s="730"/>
      <c r="K1801" s="708"/>
      <c r="L1801" s="708"/>
      <c r="M1801" s="708"/>
      <c r="N1801" s="708"/>
      <c r="O1801" s="313"/>
    </row>
    <row r="1802" spans="2:15" ht="13.5" thickBot="1">
      <c r="C1802" s="756"/>
      <c r="D1802" s="757"/>
      <c r="E1802" s="755"/>
      <c r="F1802" s="755"/>
      <c r="G1802" s="755"/>
      <c r="H1802" s="755"/>
      <c r="I1802" s="755"/>
      <c r="J1802" s="758"/>
      <c r="K1802" s="755"/>
      <c r="L1802" s="755"/>
      <c r="M1802" s="755"/>
      <c r="N1802" s="755"/>
      <c r="O1802" s="347"/>
    </row>
    <row r="1803" spans="2:15" ht="13.5" thickBot="1">
      <c r="C1803" s="759" t="s">
        <v>89</v>
      </c>
      <c r="D1803" s="760"/>
      <c r="E1803" s="760"/>
      <c r="F1803" s="760"/>
      <c r="G1803" s="760"/>
      <c r="H1803" s="760"/>
      <c r="I1803" s="761"/>
      <c r="J1803" s="762"/>
      <c r="K1803" s="313"/>
      <c r="L1803" s="313"/>
      <c r="M1803" s="313"/>
      <c r="N1803" s="313"/>
      <c r="O1803" s="763"/>
    </row>
    <row r="1804" spans="2:15" ht="15">
      <c r="C1804" s="764" t="s">
        <v>67</v>
      </c>
      <c r="D1804" s="808">
        <v>52397331</v>
      </c>
      <c r="E1804" s="725" t="s">
        <v>68</v>
      </c>
      <c r="G1804" s="765"/>
      <c r="H1804" s="765"/>
      <c r="I1804" s="766">
        <f>$L$26</f>
        <v>2023</v>
      </c>
      <c r="J1804" s="554"/>
      <c r="K1804" s="1536" t="s">
        <v>239</v>
      </c>
      <c r="L1804" s="1536"/>
      <c r="M1804" s="1536"/>
      <c r="N1804" s="1536"/>
      <c r="O1804" s="1536"/>
    </row>
    <row r="1805" spans="2:15">
      <c r="C1805" s="764" t="s">
        <v>70</v>
      </c>
      <c r="D1805" s="809">
        <v>2015</v>
      </c>
      <c r="E1805" s="764" t="s">
        <v>71</v>
      </c>
      <c r="F1805" s="765"/>
      <c r="H1805" s="172"/>
      <c r="I1805" s="810">
        <f>IF(G1798="",0,$F$17)</f>
        <v>0</v>
      </c>
      <c r="J1805" s="767"/>
      <c r="K1805" s="730" t="s">
        <v>239</v>
      </c>
    </row>
    <row r="1806" spans="2:15">
      <c r="C1806" s="764" t="s">
        <v>72</v>
      </c>
      <c r="D1806" s="808">
        <v>5</v>
      </c>
      <c r="E1806" s="764" t="s">
        <v>73</v>
      </c>
      <c r="F1806" s="765"/>
      <c r="H1806" s="172"/>
      <c r="I1806" s="768">
        <f>$G$70</f>
        <v>0.14450383244078713</v>
      </c>
      <c r="J1806" s="769"/>
      <c r="K1806" s="172" t="str">
        <f>"          INPUT PROJECTED ARR (WITH &amp; WITHOUT INCENTIVES) FROM EACH PRIOR YEAR"</f>
        <v xml:space="preserve">          INPUT PROJECTED ARR (WITH &amp; WITHOUT INCENTIVES) FROM EACH PRIOR YEAR</v>
      </c>
    </row>
    <row r="1807" spans="2:15">
      <c r="C1807" s="764" t="s">
        <v>74</v>
      </c>
      <c r="D1807" s="770">
        <f>$G$79</f>
        <v>35</v>
      </c>
      <c r="E1807" s="764" t="s">
        <v>75</v>
      </c>
      <c r="F1807" s="765"/>
      <c r="H1807" s="172"/>
      <c r="I1807" s="768">
        <f>IF(G1798="",I1806,$G$69)</f>
        <v>0.14450383244078713</v>
      </c>
      <c r="J1807" s="771"/>
      <c r="K1807" s="172" t="s">
        <v>152</v>
      </c>
    </row>
    <row r="1808" spans="2:15" ht="13.5" thickBot="1">
      <c r="C1808" s="764" t="s">
        <v>76</v>
      </c>
      <c r="D1808" s="807" t="s">
        <v>808</v>
      </c>
      <c r="E1808" s="772" t="s">
        <v>77</v>
      </c>
      <c r="F1808" s="773"/>
      <c r="G1808" s="774"/>
      <c r="H1808" s="774"/>
      <c r="I1808" s="752">
        <f>IF(D1804=0,0,D1804/D1807)</f>
        <v>1497066.6</v>
      </c>
      <c r="J1808" s="730"/>
      <c r="K1808" s="730" t="s">
        <v>158</v>
      </c>
      <c r="L1808" s="730"/>
      <c r="M1808" s="730"/>
      <c r="N1808" s="730"/>
      <c r="O1808" s="426"/>
    </row>
    <row r="1809" spans="2:15" ht="38.25">
      <c r="B1809" s="845"/>
      <c r="C1809" s="775" t="s">
        <v>67</v>
      </c>
      <c r="D1809" s="776" t="s">
        <v>78</v>
      </c>
      <c r="E1809" s="777" t="s">
        <v>79</v>
      </c>
      <c r="F1809" s="776" t="s">
        <v>80</v>
      </c>
      <c r="G1809" s="777" t="s">
        <v>151</v>
      </c>
      <c r="H1809" s="778" t="s">
        <v>151</v>
      </c>
      <c r="I1809" s="775" t="s">
        <v>90</v>
      </c>
      <c r="J1809" s="779"/>
      <c r="K1809" s="777" t="s">
        <v>160</v>
      </c>
      <c r="L1809" s="780"/>
      <c r="M1809" s="777" t="s">
        <v>160</v>
      </c>
      <c r="N1809" s="780"/>
      <c r="O1809" s="780"/>
    </row>
    <row r="1810" spans="2:15" ht="13.5" thickBot="1">
      <c r="C1810" s="781" t="s">
        <v>469</v>
      </c>
      <c r="D1810" s="782" t="s">
        <v>470</v>
      </c>
      <c r="E1810" s="781" t="s">
        <v>363</v>
      </c>
      <c r="F1810" s="782" t="s">
        <v>470</v>
      </c>
      <c r="G1810" s="783" t="s">
        <v>93</v>
      </c>
      <c r="H1810" s="784" t="s">
        <v>95</v>
      </c>
      <c r="I1810" s="785" t="s">
        <v>15</v>
      </c>
      <c r="J1810" s="786"/>
      <c r="K1810" s="783" t="s">
        <v>82</v>
      </c>
      <c r="L1810" s="787"/>
      <c r="M1810" s="783" t="s">
        <v>95</v>
      </c>
      <c r="N1810" s="787"/>
      <c r="O1810" s="787"/>
    </row>
    <row r="1811" spans="2:15">
      <c r="C1811" s="788">
        <f>IF(D1805= "","-",D1805)</f>
        <v>2015</v>
      </c>
      <c r="D1811" s="736">
        <f>+D1804</f>
        <v>52397331</v>
      </c>
      <c r="E1811" s="789">
        <f>+I1808/12*(12-D1806)</f>
        <v>873288.85</v>
      </c>
      <c r="F1811" s="736">
        <f>+D1811-E1811</f>
        <v>51524042.149999999</v>
      </c>
      <c r="G1811" s="985">
        <f>+$I$96*((D1811+F1811)/2)+E1811</f>
        <v>8381807.1963420575</v>
      </c>
      <c r="H1811" s="986">
        <f>$I$97*((D1811+F1811)/2)+E1811</f>
        <v>8381807.1963420575</v>
      </c>
      <c r="I1811" s="792">
        <f>+H1811-G1811</f>
        <v>0</v>
      </c>
      <c r="J1811" s="792"/>
      <c r="K1811" s="811">
        <v>7243003</v>
      </c>
      <c r="L1811" s="793"/>
      <c r="M1811" s="811">
        <v>7243003</v>
      </c>
      <c r="N1811" s="793"/>
      <c r="O1811" s="793"/>
    </row>
    <row r="1812" spans="2:15">
      <c r="C1812" s="788">
        <f>IF(D1805="","-",+C1811+1)</f>
        <v>2016</v>
      </c>
      <c r="D1812" s="736">
        <f t="shared" ref="D1812:D1870" si="114">F1811</f>
        <v>51524042.149999999</v>
      </c>
      <c r="E1812" s="789">
        <f>IF(D1812&gt;$I$1808,$I$1808,D1812)</f>
        <v>1497066.6</v>
      </c>
      <c r="F1812" s="736">
        <f t="shared" ref="F1812:F1870" si="115">+D1812-E1812</f>
        <v>50026975.549999997</v>
      </c>
      <c r="G1812" s="794">
        <f t="shared" ref="G1812:G1870" si="116">+$I$96*((D1812+F1812)/2)+E1812</f>
        <v>8834322.2229561023</v>
      </c>
      <c r="H1812" s="795">
        <f t="shared" ref="H1812:H1870" si="117">$I$97*((D1812+F1812)/2)+E1812</f>
        <v>8834322.2229561023</v>
      </c>
      <c r="I1812" s="792">
        <f t="shared" ref="I1812:I1870" si="118">+H1812-G1812</f>
        <v>0</v>
      </c>
      <c r="J1812" s="792"/>
      <c r="K1812" s="812">
        <v>7538577</v>
      </c>
      <c r="L1812" s="796"/>
      <c r="M1812" s="812">
        <v>7538577</v>
      </c>
      <c r="N1812" s="796"/>
      <c r="O1812" s="796"/>
    </row>
    <row r="1813" spans="2:15">
      <c r="C1813" s="788">
        <f>IF(D1805="","-",+C1812+1)</f>
        <v>2017</v>
      </c>
      <c r="D1813" s="736">
        <f t="shared" si="114"/>
        <v>50026975.549999997</v>
      </c>
      <c r="E1813" s="789">
        <f t="shared" ref="E1813:E1870" si="119">IF(D1813&gt;$I$1808,$I$1808,D1813)</f>
        <v>1497066.6</v>
      </c>
      <c r="F1813" s="736">
        <f t="shared" si="115"/>
        <v>48529908.949999996</v>
      </c>
      <c r="G1813" s="794">
        <f t="shared" si="116"/>
        <v>8617990.3618370052</v>
      </c>
      <c r="H1813" s="795">
        <f t="shared" si="117"/>
        <v>8617990.3618370052</v>
      </c>
      <c r="I1813" s="792">
        <f t="shared" si="118"/>
        <v>0</v>
      </c>
      <c r="J1813" s="792"/>
      <c r="K1813" s="812">
        <v>9073387</v>
      </c>
      <c r="L1813" s="796"/>
      <c r="M1813" s="812">
        <v>9073387</v>
      </c>
      <c r="N1813" s="796"/>
      <c r="O1813" s="796"/>
    </row>
    <row r="1814" spans="2:15">
      <c r="C1814" s="1312">
        <f>IF(D1805="","-",+C1813+1)</f>
        <v>2018</v>
      </c>
      <c r="D1814" s="736">
        <f t="shared" si="114"/>
        <v>48529908.949999996</v>
      </c>
      <c r="E1814" s="789">
        <f t="shared" si="119"/>
        <v>1497066.6</v>
      </c>
      <c r="F1814" s="736">
        <f t="shared" si="115"/>
        <v>47032842.349999994</v>
      </c>
      <c r="G1814" s="794">
        <f t="shared" si="116"/>
        <v>8401658.5007179044</v>
      </c>
      <c r="H1814" s="795">
        <f t="shared" si="117"/>
        <v>8401658.5007179044</v>
      </c>
      <c r="I1814" s="792">
        <f t="shared" si="118"/>
        <v>0</v>
      </c>
      <c r="J1814" s="792"/>
      <c r="K1814" s="812">
        <v>8068347</v>
      </c>
      <c r="L1814" s="796"/>
      <c r="M1814" s="812">
        <v>8068347</v>
      </c>
      <c r="N1814" s="796"/>
      <c r="O1814" s="796"/>
    </row>
    <row r="1815" spans="2:15">
      <c r="C1815" s="1290">
        <f>IF(D1805="","-",+C1814+1)</f>
        <v>2019</v>
      </c>
      <c r="D1815" s="736">
        <f t="shared" si="114"/>
        <v>47032842.349999994</v>
      </c>
      <c r="E1815" s="789">
        <f t="shared" si="119"/>
        <v>1497066.6</v>
      </c>
      <c r="F1815" s="736">
        <f t="shared" si="115"/>
        <v>45535775.749999993</v>
      </c>
      <c r="G1815" s="794">
        <f t="shared" si="116"/>
        <v>8185326.6395988073</v>
      </c>
      <c r="H1815" s="795">
        <f t="shared" si="117"/>
        <v>8185326.6395988073</v>
      </c>
      <c r="I1815" s="792">
        <f t="shared" si="118"/>
        <v>0</v>
      </c>
      <c r="J1815" s="792"/>
      <c r="K1815" s="812"/>
      <c r="L1815" s="796"/>
      <c r="M1815" s="812"/>
      <c r="N1815" s="796"/>
      <c r="O1815" s="796"/>
    </row>
    <row r="1816" spans="2:15">
      <c r="C1816" s="788">
        <f>IF(D1805="","-",+C1815+1)</f>
        <v>2020</v>
      </c>
      <c r="D1816" s="736">
        <f t="shared" si="114"/>
        <v>45535775.749999993</v>
      </c>
      <c r="E1816" s="789">
        <f t="shared" si="119"/>
        <v>1497066.6</v>
      </c>
      <c r="F1816" s="736">
        <f t="shared" si="115"/>
        <v>44038709.149999991</v>
      </c>
      <c r="G1816" s="794">
        <f t="shared" si="116"/>
        <v>7968994.7784797065</v>
      </c>
      <c r="H1816" s="795">
        <f t="shared" si="117"/>
        <v>7968994.7784797065</v>
      </c>
      <c r="I1816" s="792">
        <f t="shared" si="118"/>
        <v>0</v>
      </c>
      <c r="J1816" s="792"/>
      <c r="K1816" s="812"/>
      <c r="L1816" s="796"/>
      <c r="M1816" s="812"/>
      <c r="N1816" s="796"/>
      <c r="O1816" s="796"/>
    </row>
    <row r="1817" spans="2:15">
      <c r="C1817" s="788">
        <f>IF(D1805="","-",+C1816+1)</f>
        <v>2021</v>
      </c>
      <c r="D1817" s="736">
        <f t="shared" si="114"/>
        <v>44038709.149999991</v>
      </c>
      <c r="E1817" s="789">
        <f t="shared" si="119"/>
        <v>1497066.6</v>
      </c>
      <c r="F1817" s="736">
        <f t="shared" si="115"/>
        <v>42541642.54999999</v>
      </c>
      <c r="G1817" s="794">
        <f t="shared" si="116"/>
        <v>7752662.9173606094</v>
      </c>
      <c r="H1817" s="795">
        <f t="shared" si="117"/>
        <v>7752662.9173606094</v>
      </c>
      <c r="I1817" s="792">
        <f t="shared" si="118"/>
        <v>0</v>
      </c>
      <c r="J1817" s="792"/>
      <c r="K1817" s="812"/>
      <c r="L1817" s="796"/>
      <c r="M1817" s="812"/>
      <c r="N1817" s="796"/>
      <c r="O1817" s="796"/>
    </row>
    <row r="1818" spans="2:15">
      <c r="C1818" s="788">
        <f>IF(D1805="","-",+C1817+1)</f>
        <v>2022</v>
      </c>
      <c r="D1818" s="736">
        <f t="shared" si="114"/>
        <v>42541642.54999999</v>
      </c>
      <c r="E1818" s="789">
        <f t="shared" si="119"/>
        <v>1497066.6</v>
      </c>
      <c r="F1818" s="736">
        <f t="shared" si="115"/>
        <v>41044575.949999988</v>
      </c>
      <c r="G1818" s="794">
        <f t="shared" si="116"/>
        <v>7536331.0562415086</v>
      </c>
      <c r="H1818" s="795">
        <f t="shared" si="117"/>
        <v>7536331.0562415086</v>
      </c>
      <c r="I1818" s="792">
        <f t="shared" si="118"/>
        <v>0</v>
      </c>
      <c r="J1818" s="792"/>
      <c r="K1818" s="812"/>
      <c r="L1818" s="796"/>
      <c r="M1818" s="812"/>
      <c r="N1818" s="796"/>
      <c r="O1818" s="796"/>
    </row>
    <row r="1819" spans="2:15">
      <c r="C1819" s="788">
        <f>IF(D1805="","-",+C1818+1)</f>
        <v>2023</v>
      </c>
      <c r="D1819" s="736">
        <f t="shared" si="114"/>
        <v>41044575.949999988</v>
      </c>
      <c r="E1819" s="789">
        <f t="shared" si="119"/>
        <v>1497066.6</v>
      </c>
      <c r="F1819" s="736">
        <f t="shared" si="115"/>
        <v>39547509.349999987</v>
      </c>
      <c r="G1819" s="794">
        <f t="shared" si="116"/>
        <v>7319999.1951224096</v>
      </c>
      <c r="H1819" s="795">
        <f t="shared" si="117"/>
        <v>7319999.1951224096</v>
      </c>
      <c r="I1819" s="792">
        <f t="shared" si="118"/>
        <v>0</v>
      </c>
      <c r="J1819" s="792"/>
      <c r="K1819" s="812"/>
      <c r="L1819" s="796"/>
      <c r="M1819" s="812"/>
      <c r="N1819" s="796"/>
      <c r="O1819" s="796"/>
    </row>
    <row r="1820" spans="2:15">
      <c r="C1820" s="788">
        <f>IF(D1805="","-",+C1819+1)</f>
        <v>2024</v>
      </c>
      <c r="D1820" s="736">
        <f t="shared" si="114"/>
        <v>39547509.349999987</v>
      </c>
      <c r="E1820" s="789">
        <f t="shared" si="119"/>
        <v>1497066.6</v>
      </c>
      <c r="F1820" s="736">
        <f t="shared" si="115"/>
        <v>38050442.749999985</v>
      </c>
      <c r="G1820" s="794">
        <f t="shared" si="116"/>
        <v>7103667.3340033107</v>
      </c>
      <c r="H1820" s="795">
        <f t="shared" si="117"/>
        <v>7103667.3340033107</v>
      </c>
      <c r="I1820" s="792">
        <f t="shared" si="118"/>
        <v>0</v>
      </c>
      <c r="J1820" s="792"/>
      <c r="K1820" s="812"/>
      <c r="L1820" s="796"/>
      <c r="M1820" s="812"/>
      <c r="N1820" s="796"/>
      <c r="O1820" s="796"/>
    </row>
    <row r="1821" spans="2:15">
      <c r="C1821" s="788">
        <f>IF(D1805="","-",+C1820+1)</f>
        <v>2025</v>
      </c>
      <c r="D1821" s="736">
        <f t="shared" si="114"/>
        <v>38050442.749999985</v>
      </c>
      <c r="E1821" s="789">
        <f t="shared" si="119"/>
        <v>1497066.6</v>
      </c>
      <c r="F1821" s="736">
        <f t="shared" si="115"/>
        <v>36553376.149999984</v>
      </c>
      <c r="G1821" s="794">
        <f t="shared" si="116"/>
        <v>6887335.4728842117</v>
      </c>
      <c r="H1821" s="795">
        <f t="shared" si="117"/>
        <v>6887335.4728842117</v>
      </c>
      <c r="I1821" s="792">
        <f t="shared" si="118"/>
        <v>0</v>
      </c>
      <c r="J1821" s="792"/>
      <c r="K1821" s="812"/>
      <c r="L1821" s="796"/>
      <c r="M1821" s="812"/>
      <c r="N1821" s="796"/>
      <c r="O1821" s="796"/>
    </row>
    <row r="1822" spans="2:15">
      <c r="C1822" s="788">
        <f>IF(D1805="","-",+C1821+1)</f>
        <v>2026</v>
      </c>
      <c r="D1822" s="736">
        <f t="shared" si="114"/>
        <v>36553376.149999984</v>
      </c>
      <c r="E1822" s="789">
        <f t="shared" si="119"/>
        <v>1497066.6</v>
      </c>
      <c r="F1822" s="736">
        <f t="shared" si="115"/>
        <v>35056309.549999982</v>
      </c>
      <c r="G1822" s="794">
        <f t="shared" si="116"/>
        <v>6671003.6117651127</v>
      </c>
      <c r="H1822" s="795">
        <f t="shared" si="117"/>
        <v>6671003.6117651127</v>
      </c>
      <c r="I1822" s="792">
        <f t="shared" si="118"/>
        <v>0</v>
      </c>
      <c r="J1822" s="792"/>
      <c r="K1822" s="812"/>
      <c r="L1822" s="796"/>
      <c r="M1822" s="812"/>
      <c r="N1822" s="796"/>
      <c r="O1822" s="796"/>
    </row>
    <row r="1823" spans="2:15">
      <c r="C1823" s="788">
        <f>IF(D1805="","-",+C1822+1)</f>
        <v>2027</v>
      </c>
      <c r="D1823" s="736">
        <f t="shared" si="114"/>
        <v>35056309.549999982</v>
      </c>
      <c r="E1823" s="789">
        <f t="shared" si="119"/>
        <v>1497066.6</v>
      </c>
      <c r="F1823" s="736">
        <f t="shared" si="115"/>
        <v>33559242.949999981</v>
      </c>
      <c r="G1823" s="794">
        <f t="shared" si="116"/>
        <v>6454671.7506460138</v>
      </c>
      <c r="H1823" s="795">
        <f t="shared" si="117"/>
        <v>6454671.7506460138</v>
      </c>
      <c r="I1823" s="792">
        <f t="shared" si="118"/>
        <v>0</v>
      </c>
      <c r="J1823" s="792"/>
      <c r="K1823" s="812"/>
      <c r="L1823" s="796"/>
      <c r="M1823" s="812"/>
      <c r="N1823" s="797"/>
      <c r="O1823" s="796"/>
    </row>
    <row r="1824" spans="2:15">
      <c r="C1824" s="788">
        <f>IF(D1805="","-",+C1823+1)</f>
        <v>2028</v>
      </c>
      <c r="D1824" s="736">
        <f t="shared" si="114"/>
        <v>33559242.949999981</v>
      </c>
      <c r="E1824" s="789">
        <f t="shared" si="119"/>
        <v>1497066.6</v>
      </c>
      <c r="F1824" s="736">
        <f t="shared" si="115"/>
        <v>32062176.349999979</v>
      </c>
      <c r="G1824" s="794">
        <f t="shared" si="116"/>
        <v>6238339.8895269148</v>
      </c>
      <c r="H1824" s="795">
        <f t="shared" si="117"/>
        <v>6238339.8895269148</v>
      </c>
      <c r="I1824" s="792">
        <f t="shared" si="118"/>
        <v>0</v>
      </c>
      <c r="J1824" s="792"/>
      <c r="K1824" s="812"/>
      <c r="L1824" s="796"/>
      <c r="M1824" s="812"/>
      <c r="N1824" s="796"/>
      <c r="O1824" s="796"/>
    </row>
    <row r="1825" spans="3:15">
      <c r="C1825" s="788">
        <f>IF(D1805="","-",+C1824+1)</f>
        <v>2029</v>
      </c>
      <c r="D1825" s="736">
        <f t="shared" si="114"/>
        <v>32062176.349999979</v>
      </c>
      <c r="E1825" s="789">
        <f t="shared" si="119"/>
        <v>1497066.6</v>
      </c>
      <c r="F1825" s="736">
        <f t="shared" si="115"/>
        <v>30565109.749999978</v>
      </c>
      <c r="G1825" s="794">
        <f t="shared" si="116"/>
        <v>6022008.0284078158</v>
      </c>
      <c r="H1825" s="795">
        <f t="shared" si="117"/>
        <v>6022008.0284078158</v>
      </c>
      <c r="I1825" s="792">
        <f t="shared" si="118"/>
        <v>0</v>
      </c>
      <c r="J1825" s="792"/>
      <c r="K1825" s="812"/>
      <c r="L1825" s="796"/>
      <c r="M1825" s="812"/>
      <c r="N1825" s="796"/>
      <c r="O1825" s="796"/>
    </row>
    <row r="1826" spans="3:15">
      <c r="C1826" s="788">
        <f>IF(D1805="","-",+C1825+1)</f>
        <v>2030</v>
      </c>
      <c r="D1826" s="736">
        <f t="shared" si="114"/>
        <v>30565109.749999978</v>
      </c>
      <c r="E1826" s="789">
        <f t="shared" si="119"/>
        <v>1497066.6</v>
      </c>
      <c r="F1826" s="736">
        <f t="shared" si="115"/>
        <v>29068043.149999976</v>
      </c>
      <c r="G1826" s="794">
        <f t="shared" si="116"/>
        <v>5805676.1672887169</v>
      </c>
      <c r="H1826" s="795">
        <f t="shared" si="117"/>
        <v>5805676.1672887169</v>
      </c>
      <c r="I1826" s="792">
        <f t="shared" si="118"/>
        <v>0</v>
      </c>
      <c r="J1826" s="792"/>
      <c r="K1826" s="812"/>
      <c r="L1826" s="796"/>
      <c r="M1826" s="812"/>
      <c r="N1826" s="796"/>
      <c r="O1826" s="796"/>
    </row>
    <row r="1827" spans="3:15">
      <c r="C1827" s="788">
        <f>IF(D1805="","-",+C1826+1)</f>
        <v>2031</v>
      </c>
      <c r="D1827" s="736">
        <f t="shared" si="114"/>
        <v>29068043.149999976</v>
      </c>
      <c r="E1827" s="789">
        <f t="shared" si="119"/>
        <v>1497066.6</v>
      </c>
      <c r="F1827" s="736">
        <f t="shared" si="115"/>
        <v>27570976.549999975</v>
      </c>
      <c r="G1827" s="794">
        <f t="shared" si="116"/>
        <v>5589344.306169617</v>
      </c>
      <c r="H1827" s="795">
        <f t="shared" si="117"/>
        <v>5589344.306169617</v>
      </c>
      <c r="I1827" s="792">
        <f t="shared" si="118"/>
        <v>0</v>
      </c>
      <c r="J1827" s="792"/>
      <c r="K1827" s="812"/>
      <c r="L1827" s="796"/>
      <c r="M1827" s="812"/>
      <c r="N1827" s="796"/>
      <c r="O1827" s="796"/>
    </row>
    <row r="1828" spans="3:15">
      <c r="C1828" s="788">
        <f>IF(D1805="","-",+C1827+1)</f>
        <v>2032</v>
      </c>
      <c r="D1828" s="736">
        <f t="shared" si="114"/>
        <v>27570976.549999975</v>
      </c>
      <c r="E1828" s="789">
        <f t="shared" si="119"/>
        <v>1497066.6</v>
      </c>
      <c r="F1828" s="736">
        <f t="shared" si="115"/>
        <v>26073909.949999973</v>
      </c>
      <c r="G1828" s="794">
        <f t="shared" si="116"/>
        <v>5373012.445050518</v>
      </c>
      <c r="H1828" s="795">
        <f t="shared" si="117"/>
        <v>5373012.445050518</v>
      </c>
      <c r="I1828" s="792">
        <f t="shared" si="118"/>
        <v>0</v>
      </c>
      <c r="J1828" s="792"/>
      <c r="K1828" s="812"/>
      <c r="L1828" s="796"/>
      <c r="M1828" s="812"/>
      <c r="N1828" s="796"/>
      <c r="O1828" s="796"/>
    </row>
    <row r="1829" spans="3:15">
      <c r="C1829" s="788">
        <f>IF(D1805="","-",+C1828+1)</f>
        <v>2033</v>
      </c>
      <c r="D1829" s="736">
        <f t="shared" si="114"/>
        <v>26073909.949999973</v>
      </c>
      <c r="E1829" s="789">
        <f t="shared" si="119"/>
        <v>1497066.6</v>
      </c>
      <c r="F1829" s="736">
        <f t="shared" si="115"/>
        <v>24576843.349999972</v>
      </c>
      <c r="G1829" s="794">
        <f t="shared" si="116"/>
        <v>5156680.5839314191</v>
      </c>
      <c r="H1829" s="795">
        <f t="shared" si="117"/>
        <v>5156680.5839314191</v>
      </c>
      <c r="I1829" s="792">
        <f t="shared" si="118"/>
        <v>0</v>
      </c>
      <c r="J1829" s="792"/>
      <c r="K1829" s="812"/>
      <c r="L1829" s="796"/>
      <c r="M1829" s="812"/>
      <c r="N1829" s="796"/>
      <c r="O1829" s="796"/>
    </row>
    <row r="1830" spans="3:15">
      <c r="C1830" s="788">
        <f>IF(D1805="","-",+C1829+1)</f>
        <v>2034</v>
      </c>
      <c r="D1830" s="736">
        <f t="shared" si="114"/>
        <v>24576843.349999972</v>
      </c>
      <c r="E1830" s="789">
        <f t="shared" si="119"/>
        <v>1497066.6</v>
      </c>
      <c r="F1830" s="736">
        <f t="shared" si="115"/>
        <v>23079776.74999997</v>
      </c>
      <c r="G1830" s="794">
        <f t="shared" si="116"/>
        <v>4940348.7228123192</v>
      </c>
      <c r="H1830" s="795">
        <f t="shared" si="117"/>
        <v>4940348.7228123192</v>
      </c>
      <c r="I1830" s="792">
        <f t="shared" si="118"/>
        <v>0</v>
      </c>
      <c r="J1830" s="792"/>
      <c r="K1830" s="812"/>
      <c r="L1830" s="796"/>
      <c r="M1830" s="812"/>
      <c r="N1830" s="796"/>
      <c r="O1830" s="796"/>
    </row>
    <row r="1831" spans="3:15">
      <c r="C1831" s="788">
        <f>IF(D1805="","-",+C1830+1)</f>
        <v>2035</v>
      </c>
      <c r="D1831" s="736">
        <f t="shared" si="114"/>
        <v>23079776.74999997</v>
      </c>
      <c r="E1831" s="789">
        <f t="shared" si="119"/>
        <v>1497066.6</v>
      </c>
      <c r="F1831" s="736">
        <f t="shared" si="115"/>
        <v>21582710.149999969</v>
      </c>
      <c r="G1831" s="794">
        <f t="shared" si="116"/>
        <v>4724016.8616932202</v>
      </c>
      <c r="H1831" s="795">
        <f t="shared" si="117"/>
        <v>4724016.8616932202</v>
      </c>
      <c r="I1831" s="792">
        <f t="shared" si="118"/>
        <v>0</v>
      </c>
      <c r="J1831" s="792"/>
      <c r="K1831" s="812"/>
      <c r="L1831" s="796"/>
      <c r="M1831" s="812"/>
      <c r="N1831" s="796"/>
      <c r="O1831" s="796"/>
    </row>
    <row r="1832" spans="3:15">
      <c r="C1832" s="788">
        <f>IF(D1805="","-",+C1831+1)</f>
        <v>2036</v>
      </c>
      <c r="D1832" s="736">
        <f t="shared" si="114"/>
        <v>21582710.149999969</v>
      </c>
      <c r="E1832" s="789">
        <f t="shared" si="119"/>
        <v>1497066.6</v>
      </c>
      <c r="F1832" s="736">
        <f t="shared" si="115"/>
        <v>20085643.549999967</v>
      </c>
      <c r="G1832" s="794">
        <f t="shared" si="116"/>
        <v>4507685.0005741213</v>
      </c>
      <c r="H1832" s="795">
        <f t="shared" si="117"/>
        <v>4507685.0005741213</v>
      </c>
      <c r="I1832" s="792">
        <f t="shared" si="118"/>
        <v>0</v>
      </c>
      <c r="J1832" s="792"/>
      <c r="K1832" s="812"/>
      <c r="L1832" s="796"/>
      <c r="M1832" s="812"/>
      <c r="N1832" s="796"/>
      <c r="O1832" s="796"/>
    </row>
    <row r="1833" spans="3:15">
      <c r="C1833" s="788">
        <f>IF(D1805="","-",+C1832+1)</f>
        <v>2037</v>
      </c>
      <c r="D1833" s="736">
        <f t="shared" si="114"/>
        <v>20085643.549999967</v>
      </c>
      <c r="E1833" s="789">
        <f t="shared" si="119"/>
        <v>1497066.6</v>
      </c>
      <c r="F1833" s="736">
        <f t="shared" si="115"/>
        <v>18588576.949999966</v>
      </c>
      <c r="G1833" s="794">
        <f t="shared" si="116"/>
        <v>4291353.1394550223</v>
      </c>
      <c r="H1833" s="795">
        <f t="shared" si="117"/>
        <v>4291353.1394550223</v>
      </c>
      <c r="I1833" s="792">
        <f t="shared" si="118"/>
        <v>0</v>
      </c>
      <c r="J1833" s="792"/>
      <c r="K1833" s="812"/>
      <c r="L1833" s="796"/>
      <c r="M1833" s="812"/>
      <c r="N1833" s="796"/>
      <c r="O1833" s="796"/>
    </row>
    <row r="1834" spans="3:15">
      <c r="C1834" s="788">
        <f>IF(D1805="","-",+C1833+1)</f>
        <v>2038</v>
      </c>
      <c r="D1834" s="736">
        <f t="shared" si="114"/>
        <v>18588576.949999966</v>
      </c>
      <c r="E1834" s="789">
        <f t="shared" si="119"/>
        <v>1497066.6</v>
      </c>
      <c r="F1834" s="736">
        <f t="shared" si="115"/>
        <v>17091510.349999964</v>
      </c>
      <c r="G1834" s="794">
        <f t="shared" si="116"/>
        <v>4075021.2783359233</v>
      </c>
      <c r="H1834" s="795">
        <f t="shared" si="117"/>
        <v>4075021.2783359233</v>
      </c>
      <c r="I1834" s="792">
        <f t="shared" si="118"/>
        <v>0</v>
      </c>
      <c r="J1834" s="792"/>
      <c r="K1834" s="812"/>
      <c r="L1834" s="796"/>
      <c r="M1834" s="812"/>
      <c r="N1834" s="796"/>
      <c r="O1834" s="796"/>
    </row>
    <row r="1835" spans="3:15">
      <c r="C1835" s="788">
        <f>IF(D1805="","-",+C1834+1)</f>
        <v>2039</v>
      </c>
      <c r="D1835" s="736">
        <f t="shared" si="114"/>
        <v>17091510.349999964</v>
      </c>
      <c r="E1835" s="789">
        <f t="shared" si="119"/>
        <v>1497066.6</v>
      </c>
      <c r="F1835" s="736">
        <f t="shared" si="115"/>
        <v>15594443.749999965</v>
      </c>
      <c r="G1835" s="794">
        <f t="shared" si="116"/>
        <v>3858689.4172168244</v>
      </c>
      <c r="H1835" s="795">
        <f t="shared" si="117"/>
        <v>3858689.4172168244</v>
      </c>
      <c r="I1835" s="792">
        <f t="shared" si="118"/>
        <v>0</v>
      </c>
      <c r="J1835" s="792"/>
      <c r="K1835" s="812"/>
      <c r="L1835" s="796"/>
      <c r="M1835" s="812"/>
      <c r="N1835" s="796"/>
      <c r="O1835" s="796"/>
    </row>
    <row r="1836" spans="3:15">
      <c r="C1836" s="788">
        <f>IF(D1805="","-",+C1835+1)</f>
        <v>2040</v>
      </c>
      <c r="D1836" s="736">
        <f t="shared" si="114"/>
        <v>15594443.749999965</v>
      </c>
      <c r="E1836" s="789">
        <f t="shared" si="119"/>
        <v>1497066.6</v>
      </c>
      <c r="F1836" s="736">
        <f t="shared" si="115"/>
        <v>14097377.149999965</v>
      </c>
      <c r="G1836" s="794">
        <f t="shared" si="116"/>
        <v>3642357.5560977259</v>
      </c>
      <c r="H1836" s="795">
        <f t="shared" si="117"/>
        <v>3642357.5560977259</v>
      </c>
      <c r="I1836" s="792">
        <f t="shared" si="118"/>
        <v>0</v>
      </c>
      <c r="J1836" s="792"/>
      <c r="K1836" s="812"/>
      <c r="L1836" s="796"/>
      <c r="M1836" s="812"/>
      <c r="N1836" s="796"/>
      <c r="O1836" s="796"/>
    </row>
    <row r="1837" spans="3:15">
      <c r="C1837" s="788">
        <f>IF(D1805="","-",+C1836+1)</f>
        <v>2041</v>
      </c>
      <c r="D1837" s="736">
        <f t="shared" si="114"/>
        <v>14097377.149999965</v>
      </c>
      <c r="E1837" s="789">
        <f t="shared" si="119"/>
        <v>1497066.6</v>
      </c>
      <c r="F1837" s="736">
        <f t="shared" si="115"/>
        <v>12600310.549999965</v>
      </c>
      <c r="G1837" s="794">
        <f t="shared" si="116"/>
        <v>3426025.6949786264</v>
      </c>
      <c r="H1837" s="795">
        <f t="shared" si="117"/>
        <v>3426025.6949786264</v>
      </c>
      <c r="I1837" s="792">
        <f t="shared" si="118"/>
        <v>0</v>
      </c>
      <c r="J1837" s="792"/>
      <c r="K1837" s="812"/>
      <c r="L1837" s="796"/>
      <c r="M1837" s="812"/>
      <c r="N1837" s="796"/>
      <c r="O1837" s="796"/>
    </row>
    <row r="1838" spans="3:15">
      <c r="C1838" s="788">
        <f>IF(D1805="","-",+C1837+1)</f>
        <v>2042</v>
      </c>
      <c r="D1838" s="736">
        <f t="shared" si="114"/>
        <v>12600310.549999965</v>
      </c>
      <c r="E1838" s="789">
        <f t="shared" si="119"/>
        <v>1497066.6</v>
      </c>
      <c r="F1838" s="736">
        <f t="shared" si="115"/>
        <v>11103243.949999966</v>
      </c>
      <c r="G1838" s="794">
        <f t="shared" si="116"/>
        <v>3209693.8338595284</v>
      </c>
      <c r="H1838" s="795">
        <f t="shared" si="117"/>
        <v>3209693.8338595284</v>
      </c>
      <c r="I1838" s="792">
        <f t="shared" si="118"/>
        <v>0</v>
      </c>
      <c r="J1838" s="792"/>
      <c r="K1838" s="812"/>
      <c r="L1838" s="796"/>
      <c r="M1838" s="812"/>
      <c r="N1838" s="796"/>
      <c r="O1838" s="796"/>
    </row>
    <row r="1839" spans="3:15">
      <c r="C1839" s="788">
        <f>IF(D1805="","-",+C1838+1)</f>
        <v>2043</v>
      </c>
      <c r="D1839" s="736">
        <f t="shared" si="114"/>
        <v>11103243.949999966</v>
      </c>
      <c r="E1839" s="789">
        <f t="shared" si="119"/>
        <v>1497066.6</v>
      </c>
      <c r="F1839" s="736">
        <f t="shared" si="115"/>
        <v>9606177.3499999661</v>
      </c>
      <c r="G1839" s="790">
        <f t="shared" si="116"/>
        <v>2993361.972740429</v>
      </c>
      <c r="H1839" s="795">
        <f t="shared" si="117"/>
        <v>2993361.972740429</v>
      </c>
      <c r="I1839" s="792">
        <f t="shared" si="118"/>
        <v>0</v>
      </c>
      <c r="J1839" s="792"/>
      <c r="K1839" s="812"/>
      <c r="L1839" s="796"/>
      <c r="M1839" s="812"/>
      <c r="N1839" s="796"/>
      <c r="O1839" s="796"/>
    </row>
    <row r="1840" spans="3:15">
      <c r="C1840" s="788">
        <f>IF(D1805="","-",+C1839+1)</f>
        <v>2044</v>
      </c>
      <c r="D1840" s="736">
        <f t="shared" si="114"/>
        <v>9606177.3499999661</v>
      </c>
      <c r="E1840" s="789">
        <f t="shared" si="119"/>
        <v>1497066.6</v>
      </c>
      <c r="F1840" s="736">
        <f t="shared" si="115"/>
        <v>8109110.7499999665</v>
      </c>
      <c r="G1840" s="794">
        <f t="shared" si="116"/>
        <v>2777030.1116213305</v>
      </c>
      <c r="H1840" s="795">
        <f t="shared" si="117"/>
        <v>2777030.1116213305</v>
      </c>
      <c r="I1840" s="792">
        <f t="shared" si="118"/>
        <v>0</v>
      </c>
      <c r="J1840" s="792"/>
      <c r="K1840" s="812"/>
      <c r="L1840" s="796"/>
      <c r="M1840" s="812"/>
      <c r="N1840" s="796"/>
      <c r="O1840" s="796"/>
    </row>
    <row r="1841" spans="3:15">
      <c r="C1841" s="788">
        <f>IF(D1805="","-",+C1840+1)</f>
        <v>2045</v>
      </c>
      <c r="D1841" s="736">
        <f t="shared" si="114"/>
        <v>8109110.7499999665</v>
      </c>
      <c r="E1841" s="789">
        <f t="shared" si="119"/>
        <v>1497066.6</v>
      </c>
      <c r="F1841" s="736">
        <f t="shared" si="115"/>
        <v>6612044.1499999668</v>
      </c>
      <c r="G1841" s="794">
        <f t="shared" si="116"/>
        <v>2560698.2505022315</v>
      </c>
      <c r="H1841" s="795">
        <f t="shared" si="117"/>
        <v>2560698.2505022315</v>
      </c>
      <c r="I1841" s="792">
        <f t="shared" si="118"/>
        <v>0</v>
      </c>
      <c r="J1841" s="792"/>
      <c r="K1841" s="812"/>
      <c r="L1841" s="796"/>
      <c r="M1841" s="812"/>
      <c r="N1841" s="796"/>
      <c r="O1841" s="796"/>
    </row>
    <row r="1842" spans="3:15">
      <c r="C1842" s="788">
        <f>IF(D1805="","-",+C1841+1)</f>
        <v>2046</v>
      </c>
      <c r="D1842" s="736">
        <f t="shared" si="114"/>
        <v>6612044.1499999668</v>
      </c>
      <c r="E1842" s="789">
        <f t="shared" si="119"/>
        <v>1497066.6</v>
      </c>
      <c r="F1842" s="736">
        <f t="shared" si="115"/>
        <v>5114977.5499999672</v>
      </c>
      <c r="G1842" s="794">
        <f t="shared" si="116"/>
        <v>2344366.3893831326</v>
      </c>
      <c r="H1842" s="795">
        <f t="shared" si="117"/>
        <v>2344366.3893831326</v>
      </c>
      <c r="I1842" s="792">
        <f t="shared" si="118"/>
        <v>0</v>
      </c>
      <c r="J1842" s="792"/>
      <c r="K1842" s="812"/>
      <c r="L1842" s="796"/>
      <c r="M1842" s="812"/>
      <c r="N1842" s="796"/>
      <c r="O1842" s="796"/>
    </row>
    <row r="1843" spans="3:15">
      <c r="C1843" s="788">
        <f>IF(D1805="","-",+C1842+1)</f>
        <v>2047</v>
      </c>
      <c r="D1843" s="736">
        <f t="shared" si="114"/>
        <v>5114977.5499999672</v>
      </c>
      <c r="E1843" s="789">
        <f t="shared" si="119"/>
        <v>1497066.6</v>
      </c>
      <c r="F1843" s="736">
        <f t="shared" si="115"/>
        <v>3617910.9499999671</v>
      </c>
      <c r="G1843" s="794">
        <f t="shared" si="116"/>
        <v>2128034.5282640336</v>
      </c>
      <c r="H1843" s="795">
        <f t="shared" si="117"/>
        <v>2128034.5282640336</v>
      </c>
      <c r="I1843" s="792">
        <f t="shared" si="118"/>
        <v>0</v>
      </c>
      <c r="J1843" s="792"/>
      <c r="K1843" s="812"/>
      <c r="L1843" s="796"/>
      <c r="M1843" s="812"/>
      <c r="N1843" s="796"/>
      <c r="O1843" s="796"/>
    </row>
    <row r="1844" spans="3:15">
      <c r="C1844" s="788">
        <f>IF(D1805="","-",+C1843+1)</f>
        <v>2048</v>
      </c>
      <c r="D1844" s="736">
        <f t="shared" si="114"/>
        <v>3617910.9499999671</v>
      </c>
      <c r="E1844" s="789">
        <f t="shared" si="119"/>
        <v>1497066.6</v>
      </c>
      <c r="F1844" s="736">
        <f t="shared" si="115"/>
        <v>2120844.349999967</v>
      </c>
      <c r="G1844" s="794">
        <f t="shared" si="116"/>
        <v>1911702.6671449349</v>
      </c>
      <c r="H1844" s="795">
        <f t="shared" si="117"/>
        <v>1911702.6671449349</v>
      </c>
      <c r="I1844" s="792">
        <f t="shared" si="118"/>
        <v>0</v>
      </c>
      <c r="J1844" s="792"/>
      <c r="K1844" s="812"/>
      <c r="L1844" s="796"/>
      <c r="M1844" s="812"/>
      <c r="N1844" s="796"/>
      <c r="O1844" s="796"/>
    </row>
    <row r="1845" spans="3:15">
      <c r="C1845" s="788">
        <f>IF(D1805="","-",+C1844+1)</f>
        <v>2049</v>
      </c>
      <c r="D1845" s="736">
        <f t="shared" si="114"/>
        <v>2120844.349999967</v>
      </c>
      <c r="E1845" s="789">
        <f t="shared" si="119"/>
        <v>1497066.6</v>
      </c>
      <c r="F1845" s="736">
        <f t="shared" si="115"/>
        <v>623777.74999996694</v>
      </c>
      <c r="G1845" s="794">
        <f t="shared" si="116"/>
        <v>1695370.8060258359</v>
      </c>
      <c r="H1845" s="795">
        <f t="shared" si="117"/>
        <v>1695370.8060258359</v>
      </c>
      <c r="I1845" s="792">
        <f t="shared" si="118"/>
        <v>0</v>
      </c>
      <c r="J1845" s="792"/>
      <c r="K1845" s="812"/>
      <c r="L1845" s="796"/>
      <c r="M1845" s="812"/>
      <c r="N1845" s="796"/>
      <c r="O1845" s="796"/>
    </row>
    <row r="1846" spans="3:15">
      <c r="C1846" s="788">
        <f>IF(D1805="","-",+C1845+1)</f>
        <v>2050</v>
      </c>
      <c r="D1846" s="736">
        <f t="shared" si="114"/>
        <v>623777.74999996694</v>
      </c>
      <c r="E1846" s="789">
        <f t="shared" si="119"/>
        <v>623777.74999996694</v>
      </c>
      <c r="F1846" s="736">
        <f t="shared" si="115"/>
        <v>0</v>
      </c>
      <c r="G1846" s="794">
        <f t="shared" si="116"/>
        <v>668846.88773311011</v>
      </c>
      <c r="H1846" s="795">
        <f t="shared" si="117"/>
        <v>668846.88773311011</v>
      </c>
      <c r="I1846" s="792">
        <f t="shared" si="118"/>
        <v>0</v>
      </c>
      <c r="J1846" s="792"/>
      <c r="K1846" s="812"/>
      <c r="L1846" s="796"/>
      <c r="M1846" s="812"/>
      <c r="N1846" s="796"/>
      <c r="O1846" s="796"/>
    </row>
    <row r="1847" spans="3:15">
      <c r="C1847" s="788">
        <f>IF(D1805="","-",+C1846+1)</f>
        <v>2051</v>
      </c>
      <c r="D1847" s="736">
        <f t="shared" si="114"/>
        <v>0</v>
      </c>
      <c r="E1847" s="789">
        <f t="shared" si="119"/>
        <v>0</v>
      </c>
      <c r="F1847" s="736">
        <f t="shared" si="115"/>
        <v>0</v>
      </c>
      <c r="G1847" s="794">
        <f t="shared" si="116"/>
        <v>0</v>
      </c>
      <c r="H1847" s="795">
        <f t="shared" si="117"/>
        <v>0</v>
      </c>
      <c r="I1847" s="792">
        <f t="shared" si="118"/>
        <v>0</v>
      </c>
      <c r="J1847" s="792"/>
      <c r="K1847" s="812"/>
      <c r="L1847" s="796"/>
      <c r="M1847" s="812"/>
      <c r="N1847" s="796"/>
      <c r="O1847" s="796"/>
    </row>
    <row r="1848" spans="3:15">
      <c r="C1848" s="788">
        <f>IF(D1805="","-",+C1847+1)</f>
        <v>2052</v>
      </c>
      <c r="D1848" s="736">
        <f t="shared" si="114"/>
        <v>0</v>
      </c>
      <c r="E1848" s="789">
        <f t="shared" si="119"/>
        <v>0</v>
      </c>
      <c r="F1848" s="736">
        <f t="shared" si="115"/>
        <v>0</v>
      </c>
      <c r="G1848" s="794">
        <f t="shared" si="116"/>
        <v>0</v>
      </c>
      <c r="H1848" s="795">
        <f t="shared" si="117"/>
        <v>0</v>
      </c>
      <c r="I1848" s="792">
        <f t="shared" si="118"/>
        <v>0</v>
      </c>
      <c r="J1848" s="792"/>
      <c r="K1848" s="812"/>
      <c r="L1848" s="796"/>
      <c r="M1848" s="812"/>
      <c r="N1848" s="796"/>
      <c r="O1848" s="796"/>
    </row>
    <row r="1849" spans="3:15">
      <c r="C1849" s="788">
        <f>IF(D1805="","-",+C1848+1)</f>
        <v>2053</v>
      </c>
      <c r="D1849" s="736">
        <f t="shared" si="114"/>
        <v>0</v>
      </c>
      <c r="E1849" s="789">
        <f t="shared" si="119"/>
        <v>0</v>
      </c>
      <c r="F1849" s="736">
        <f t="shared" si="115"/>
        <v>0</v>
      </c>
      <c r="G1849" s="794">
        <f t="shared" si="116"/>
        <v>0</v>
      </c>
      <c r="H1849" s="795">
        <f t="shared" si="117"/>
        <v>0</v>
      </c>
      <c r="I1849" s="792">
        <f t="shared" si="118"/>
        <v>0</v>
      </c>
      <c r="J1849" s="792"/>
      <c r="K1849" s="812"/>
      <c r="L1849" s="796"/>
      <c r="M1849" s="812"/>
      <c r="N1849" s="796"/>
      <c r="O1849" s="796"/>
    </row>
    <row r="1850" spans="3:15">
      <c r="C1850" s="788">
        <f>IF(D1805="","-",+C1849+1)</f>
        <v>2054</v>
      </c>
      <c r="D1850" s="736">
        <f t="shared" si="114"/>
        <v>0</v>
      </c>
      <c r="E1850" s="789">
        <f t="shared" si="119"/>
        <v>0</v>
      </c>
      <c r="F1850" s="736">
        <f t="shared" si="115"/>
        <v>0</v>
      </c>
      <c r="G1850" s="794">
        <f t="shared" si="116"/>
        <v>0</v>
      </c>
      <c r="H1850" s="795">
        <f t="shared" si="117"/>
        <v>0</v>
      </c>
      <c r="I1850" s="792">
        <f t="shared" si="118"/>
        <v>0</v>
      </c>
      <c r="J1850" s="792"/>
      <c r="K1850" s="812"/>
      <c r="L1850" s="796"/>
      <c r="M1850" s="812"/>
      <c r="N1850" s="796"/>
      <c r="O1850" s="796"/>
    </row>
    <row r="1851" spans="3:15">
      <c r="C1851" s="788">
        <f>IF(D1805="","-",+C1850+1)</f>
        <v>2055</v>
      </c>
      <c r="D1851" s="736">
        <f t="shared" si="114"/>
        <v>0</v>
      </c>
      <c r="E1851" s="789">
        <f t="shared" si="119"/>
        <v>0</v>
      </c>
      <c r="F1851" s="736">
        <f t="shared" si="115"/>
        <v>0</v>
      </c>
      <c r="G1851" s="794">
        <f t="shared" si="116"/>
        <v>0</v>
      </c>
      <c r="H1851" s="795">
        <f t="shared" si="117"/>
        <v>0</v>
      </c>
      <c r="I1851" s="792">
        <f t="shared" si="118"/>
        <v>0</v>
      </c>
      <c r="J1851" s="792"/>
      <c r="K1851" s="812"/>
      <c r="L1851" s="796"/>
      <c r="M1851" s="812"/>
      <c r="N1851" s="796"/>
      <c r="O1851" s="796"/>
    </row>
    <row r="1852" spans="3:15">
      <c r="C1852" s="788">
        <f>IF(D1805="","-",+C1851+1)</f>
        <v>2056</v>
      </c>
      <c r="D1852" s="736">
        <f t="shared" si="114"/>
        <v>0</v>
      </c>
      <c r="E1852" s="789">
        <f t="shared" si="119"/>
        <v>0</v>
      </c>
      <c r="F1852" s="736">
        <f t="shared" si="115"/>
        <v>0</v>
      </c>
      <c r="G1852" s="794">
        <f t="shared" si="116"/>
        <v>0</v>
      </c>
      <c r="H1852" s="795">
        <f t="shared" si="117"/>
        <v>0</v>
      </c>
      <c r="I1852" s="792">
        <f t="shared" si="118"/>
        <v>0</v>
      </c>
      <c r="J1852" s="792"/>
      <c r="K1852" s="812"/>
      <c r="L1852" s="796"/>
      <c r="M1852" s="812"/>
      <c r="N1852" s="796"/>
      <c r="O1852" s="796"/>
    </row>
    <row r="1853" spans="3:15">
      <c r="C1853" s="788">
        <f>IF(D1805="","-",+C1852+1)</f>
        <v>2057</v>
      </c>
      <c r="D1853" s="736">
        <f t="shared" si="114"/>
        <v>0</v>
      </c>
      <c r="E1853" s="789">
        <f t="shared" si="119"/>
        <v>0</v>
      </c>
      <c r="F1853" s="736">
        <f t="shared" si="115"/>
        <v>0</v>
      </c>
      <c r="G1853" s="794">
        <f t="shared" si="116"/>
        <v>0</v>
      </c>
      <c r="H1853" s="795">
        <f t="shared" si="117"/>
        <v>0</v>
      </c>
      <c r="I1853" s="792">
        <f t="shared" si="118"/>
        <v>0</v>
      </c>
      <c r="J1853" s="792"/>
      <c r="K1853" s="812"/>
      <c r="L1853" s="796"/>
      <c r="M1853" s="812"/>
      <c r="N1853" s="796"/>
      <c r="O1853" s="796"/>
    </row>
    <row r="1854" spans="3:15">
      <c r="C1854" s="788">
        <f>IF(D1805="","-",+C1853+1)</f>
        <v>2058</v>
      </c>
      <c r="D1854" s="736">
        <f t="shared" si="114"/>
        <v>0</v>
      </c>
      <c r="E1854" s="789">
        <f t="shared" si="119"/>
        <v>0</v>
      </c>
      <c r="F1854" s="736">
        <f t="shared" si="115"/>
        <v>0</v>
      </c>
      <c r="G1854" s="794">
        <f t="shared" si="116"/>
        <v>0</v>
      </c>
      <c r="H1854" s="795">
        <f t="shared" si="117"/>
        <v>0</v>
      </c>
      <c r="I1854" s="792">
        <f t="shared" si="118"/>
        <v>0</v>
      </c>
      <c r="J1854" s="792"/>
      <c r="K1854" s="812"/>
      <c r="L1854" s="796"/>
      <c r="M1854" s="812"/>
      <c r="N1854" s="796"/>
      <c r="O1854" s="796"/>
    </row>
    <row r="1855" spans="3:15">
      <c r="C1855" s="788">
        <f>IF(D1805="","-",+C1854+1)</f>
        <v>2059</v>
      </c>
      <c r="D1855" s="736">
        <f t="shared" si="114"/>
        <v>0</v>
      </c>
      <c r="E1855" s="789">
        <f t="shared" si="119"/>
        <v>0</v>
      </c>
      <c r="F1855" s="736">
        <f t="shared" si="115"/>
        <v>0</v>
      </c>
      <c r="G1855" s="794">
        <f t="shared" si="116"/>
        <v>0</v>
      </c>
      <c r="H1855" s="795">
        <f t="shared" si="117"/>
        <v>0</v>
      </c>
      <c r="I1855" s="792">
        <f t="shared" si="118"/>
        <v>0</v>
      </c>
      <c r="J1855" s="792"/>
      <c r="K1855" s="812"/>
      <c r="L1855" s="796"/>
      <c r="M1855" s="812"/>
      <c r="N1855" s="796"/>
      <c r="O1855" s="796"/>
    </row>
    <row r="1856" spans="3:15">
      <c r="C1856" s="788">
        <f>IF(D1805="","-",+C1855+1)</f>
        <v>2060</v>
      </c>
      <c r="D1856" s="736">
        <f t="shared" si="114"/>
        <v>0</v>
      </c>
      <c r="E1856" s="789">
        <f t="shared" si="119"/>
        <v>0</v>
      </c>
      <c r="F1856" s="736">
        <f t="shared" si="115"/>
        <v>0</v>
      </c>
      <c r="G1856" s="794">
        <f t="shared" si="116"/>
        <v>0</v>
      </c>
      <c r="H1856" s="795">
        <f t="shared" si="117"/>
        <v>0</v>
      </c>
      <c r="I1856" s="792">
        <f t="shared" si="118"/>
        <v>0</v>
      </c>
      <c r="J1856" s="792"/>
      <c r="K1856" s="812"/>
      <c r="L1856" s="796"/>
      <c r="M1856" s="812"/>
      <c r="N1856" s="796"/>
      <c r="O1856" s="796"/>
    </row>
    <row r="1857" spans="3:15">
      <c r="C1857" s="788">
        <f>IF(D1805="","-",+C1856+1)</f>
        <v>2061</v>
      </c>
      <c r="D1857" s="736">
        <f t="shared" si="114"/>
        <v>0</v>
      </c>
      <c r="E1857" s="789">
        <f t="shared" si="119"/>
        <v>0</v>
      </c>
      <c r="F1857" s="736">
        <f t="shared" si="115"/>
        <v>0</v>
      </c>
      <c r="G1857" s="794">
        <f t="shared" si="116"/>
        <v>0</v>
      </c>
      <c r="H1857" s="795">
        <f t="shared" si="117"/>
        <v>0</v>
      </c>
      <c r="I1857" s="792">
        <f t="shared" si="118"/>
        <v>0</v>
      </c>
      <c r="J1857" s="792"/>
      <c r="K1857" s="812"/>
      <c r="L1857" s="796"/>
      <c r="M1857" s="812"/>
      <c r="N1857" s="796"/>
      <c r="O1857" s="796"/>
    </row>
    <row r="1858" spans="3:15">
      <c r="C1858" s="788">
        <f>IF(D1805="","-",+C1857+1)</f>
        <v>2062</v>
      </c>
      <c r="D1858" s="736">
        <f t="shared" si="114"/>
        <v>0</v>
      </c>
      <c r="E1858" s="789">
        <f t="shared" si="119"/>
        <v>0</v>
      </c>
      <c r="F1858" s="736">
        <f t="shared" si="115"/>
        <v>0</v>
      </c>
      <c r="G1858" s="794">
        <f t="shared" si="116"/>
        <v>0</v>
      </c>
      <c r="H1858" s="795">
        <f t="shared" si="117"/>
        <v>0</v>
      </c>
      <c r="I1858" s="792">
        <f t="shared" si="118"/>
        <v>0</v>
      </c>
      <c r="J1858" s="792"/>
      <c r="K1858" s="812"/>
      <c r="L1858" s="796"/>
      <c r="M1858" s="812"/>
      <c r="N1858" s="796"/>
      <c r="O1858" s="796"/>
    </row>
    <row r="1859" spans="3:15">
      <c r="C1859" s="788">
        <f>IF(D1805="","-",+C1858+1)</f>
        <v>2063</v>
      </c>
      <c r="D1859" s="736">
        <f t="shared" si="114"/>
        <v>0</v>
      </c>
      <c r="E1859" s="789">
        <f t="shared" si="119"/>
        <v>0</v>
      </c>
      <c r="F1859" s="736">
        <f t="shared" si="115"/>
        <v>0</v>
      </c>
      <c r="G1859" s="794">
        <f t="shared" si="116"/>
        <v>0</v>
      </c>
      <c r="H1859" s="795">
        <f t="shared" si="117"/>
        <v>0</v>
      </c>
      <c r="I1859" s="792">
        <f t="shared" si="118"/>
        <v>0</v>
      </c>
      <c r="J1859" s="792"/>
      <c r="K1859" s="812"/>
      <c r="L1859" s="796"/>
      <c r="M1859" s="812"/>
      <c r="N1859" s="796"/>
      <c r="O1859" s="796"/>
    </row>
    <row r="1860" spans="3:15">
      <c r="C1860" s="788">
        <f>IF(D1805="","-",+C1859+1)</f>
        <v>2064</v>
      </c>
      <c r="D1860" s="736">
        <f t="shared" si="114"/>
        <v>0</v>
      </c>
      <c r="E1860" s="789">
        <f t="shared" si="119"/>
        <v>0</v>
      </c>
      <c r="F1860" s="736">
        <f t="shared" si="115"/>
        <v>0</v>
      </c>
      <c r="G1860" s="794">
        <f t="shared" si="116"/>
        <v>0</v>
      </c>
      <c r="H1860" s="795">
        <f t="shared" si="117"/>
        <v>0</v>
      </c>
      <c r="I1860" s="792">
        <f t="shared" si="118"/>
        <v>0</v>
      </c>
      <c r="J1860" s="792"/>
      <c r="K1860" s="812"/>
      <c r="L1860" s="796"/>
      <c r="M1860" s="812"/>
      <c r="N1860" s="796"/>
      <c r="O1860" s="796"/>
    </row>
    <row r="1861" spans="3:15">
      <c r="C1861" s="788">
        <f>IF(D1805="","-",+C1860+1)</f>
        <v>2065</v>
      </c>
      <c r="D1861" s="736">
        <f t="shared" si="114"/>
        <v>0</v>
      </c>
      <c r="E1861" s="789">
        <f t="shared" si="119"/>
        <v>0</v>
      </c>
      <c r="F1861" s="736">
        <f t="shared" si="115"/>
        <v>0</v>
      </c>
      <c r="G1861" s="794">
        <f t="shared" si="116"/>
        <v>0</v>
      </c>
      <c r="H1861" s="795">
        <f t="shared" si="117"/>
        <v>0</v>
      </c>
      <c r="I1861" s="792">
        <f t="shared" si="118"/>
        <v>0</v>
      </c>
      <c r="J1861" s="792"/>
      <c r="K1861" s="812"/>
      <c r="L1861" s="796"/>
      <c r="M1861" s="812"/>
      <c r="N1861" s="796"/>
      <c r="O1861" s="796"/>
    </row>
    <row r="1862" spans="3:15">
      <c r="C1862" s="788">
        <f>IF(D1805="","-",+C1861+1)</f>
        <v>2066</v>
      </c>
      <c r="D1862" s="736">
        <f t="shared" si="114"/>
        <v>0</v>
      </c>
      <c r="E1862" s="789">
        <f t="shared" si="119"/>
        <v>0</v>
      </c>
      <c r="F1862" s="736">
        <f t="shared" si="115"/>
        <v>0</v>
      </c>
      <c r="G1862" s="794">
        <f t="shared" si="116"/>
        <v>0</v>
      </c>
      <c r="H1862" s="795">
        <f t="shared" si="117"/>
        <v>0</v>
      </c>
      <c r="I1862" s="792">
        <f t="shared" si="118"/>
        <v>0</v>
      </c>
      <c r="J1862" s="792"/>
      <c r="K1862" s="812"/>
      <c r="L1862" s="796"/>
      <c r="M1862" s="812"/>
      <c r="N1862" s="796"/>
      <c r="O1862" s="796"/>
    </row>
    <row r="1863" spans="3:15">
      <c r="C1863" s="788">
        <f>IF(D1805="","-",+C1862+1)</f>
        <v>2067</v>
      </c>
      <c r="D1863" s="736">
        <f t="shared" si="114"/>
        <v>0</v>
      </c>
      <c r="E1863" s="789">
        <f t="shared" si="119"/>
        <v>0</v>
      </c>
      <c r="F1863" s="736">
        <f t="shared" si="115"/>
        <v>0</v>
      </c>
      <c r="G1863" s="794">
        <f t="shared" si="116"/>
        <v>0</v>
      </c>
      <c r="H1863" s="795">
        <f t="shared" si="117"/>
        <v>0</v>
      </c>
      <c r="I1863" s="792">
        <f t="shared" si="118"/>
        <v>0</v>
      </c>
      <c r="J1863" s="792"/>
      <c r="K1863" s="812"/>
      <c r="L1863" s="796"/>
      <c r="M1863" s="812"/>
      <c r="N1863" s="796"/>
      <c r="O1863" s="796"/>
    </row>
    <row r="1864" spans="3:15">
      <c r="C1864" s="788">
        <f>IF(D1805="","-",+C1863+1)</f>
        <v>2068</v>
      </c>
      <c r="D1864" s="736">
        <f t="shared" si="114"/>
        <v>0</v>
      </c>
      <c r="E1864" s="789">
        <f t="shared" si="119"/>
        <v>0</v>
      </c>
      <c r="F1864" s="736">
        <f t="shared" si="115"/>
        <v>0</v>
      </c>
      <c r="G1864" s="794">
        <f t="shared" si="116"/>
        <v>0</v>
      </c>
      <c r="H1864" s="795">
        <f t="shared" si="117"/>
        <v>0</v>
      </c>
      <c r="I1864" s="792">
        <f t="shared" si="118"/>
        <v>0</v>
      </c>
      <c r="J1864" s="792"/>
      <c r="K1864" s="812"/>
      <c r="L1864" s="796"/>
      <c r="M1864" s="812"/>
      <c r="N1864" s="796"/>
      <c r="O1864" s="796"/>
    </row>
    <row r="1865" spans="3:15">
      <c r="C1865" s="788">
        <f>IF(D1805="","-",+C1864+1)</f>
        <v>2069</v>
      </c>
      <c r="D1865" s="736">
        <f t="shared" si="114"/>
        <v>0</v>
      </c>
      <c r="E1865" s="789">
        <f t="shared" si="119"/>
        <v>0</v>
      </c>
      <c r="F1865" s="736">
        <f t="shared" si="115"/>
        <v>0</v>
      </c>
      <c r="G1865" s="794">
        <f t="shared" si="116"/>
        <v>0</v>
      </c>
      <c r="H1865" s="795">
        <f t="shared" si="117"/>
        <v>0</v>
      </c>
      <c r="I1865" s="792">
        <f t="shared" si="118"/>
        <v>0</v>
      </c>
      <c r="J1865" s="792"/>
      <c r="K1865" s="812"/>
      <c r="L1865" s="796"/>
      <c r="M1865" s="812"/>
      <c r="N1865" s="796"/>
      <c r="O1865" s="796"/>
    </row>
    <row r="1866" spans="3:15">
      <c r="C1866" s="788">
        <f>IF(D1805="","-",+C1865+1)</f>
        <v>2070</v>
      </c>
      <c r="D1866" s="736">
        <f t="shared" si="114"/>
        <v>0</v>
      </c>
      <c r="E1866" s="789">
        <f t="shared" si="119"/>
        <v>0</v>
      </c>
      <c r="F1866" s="736">
        <f t="shared" si="115"/>
        <v>0</v>
      </c>
      <c r="G1866" s="794">
        <f t="shared" si="116"/>
        <v>0</v>
      </c>
      <c r="H1866" s="795">
        <f t="shared" si="117"/>
        <v>0</v>
      </c>
      <c r="I1866" s="792">
        <f t="shared" si="118"/>
        <v>0</v>
      </c>
      <c r="J1866" s="792"/>
      <c r="K1866" s="812"/>
      <c r="L1866" s="796"/>
      <c r="M1866" s="812"/>
      <c r="N1866" s="796"/>
      <c r="O1866" s="796"/>
    </row>
    <row r="1867" spans="3:15">
      <c r="C1867" s="788">
        <f>IF(D1805="","-",+C1866+1)</f>
        <v>2071</v>
      </c>
      <c r="D1867" s="736">
        <f t="shared" si="114"/>
        <v>0</v>
      </c>
      <c r="E1867" s="789">
        <f t="shared" si="119"/>
        <v>0</v>
      </c>
      <c r="F1867" s="736">
        <f t="shared" si="115"/>
        <v>0</v>
      </c>
      <c r="G1867" s="794">
        <f t="shared" si="116"/>
        <v>0</v>
      </c>
      <c r="H1867" s="795">
        <f t="shared" si="117"/>
        <v>0</v>
      </c>
      <c r="I1867" s="792">
        <f t="shared" si="118"/>
        <v>0</v>
      </c>
      <c r="J1867" s="792"/>
      <c r="K1867" s="812"/>
      <c r="L1867" s="796"/>
      <c r="M1867" s="812"/>
      <c r="N1867" s="796"/>
      <c r="O1867" s="796"/>
    </row>
    <row r="1868" spans="3:15">
      <c r="C1868" s="788">
        <f>IF(D1805="","-",+C1867+1)</f>
        <v>2072</v>
      </c>
      <c r="D1868" s="736">
        <f t="shared" si="114"/>
        <v>0</v>
      </c>
      <c r="E1868" s="789">
        <f t="shared" si="119"/>
        <v>0</v>
      </c>
      <c r="F1868" s="736">
        <f t="shared" si="115"/>
        <v>0</v>
      </c>
      <c r="G1868" s="794">
        <f t="shared" si="116"/>
        <v>0</v>
      </c>
      <c r="H1868" s="795">
        <f t="shared" si="117"/>
        <v>0</v>
      </c>
      <c r="I1868" s="792">
        <f t="shared" si="118"/>
        <v>0</v>
      </c>
      <c r="J1868" s="792"/>
      <c r="K1868" s="812"/>
      <c r="L1868" s="796"/>
      <c r="M1868" s="812"/>
      <c r="N1868" s="796"/>
      <c r="O1868" s="796"/>
    </row>
    <row r="1869" spans="3:15">
      <c r="C1869" s="788">
        <f>IF(D1805="","-",+C1868+1)</f>
        <v>2073</v>
      </c>
      <c r="D1869" s="736">
        <f t="shared" si="114"/>
        <v>0</v>
      </c>
      <c r="E1869" s="789">
        <f t="shared" si="119"/>
        <v>0</v>
      </c>
      <c r="F1869" s="736">
        <f t="shared" si="115"/>
        <v>0</v>
      </c>
      <c r="G1869" s="794">
        <f t="shared" si="116"/>
        <v>0</v>
      </c>
      <c r="H1869" s="795">
        <f t="shared" si="117"/>
        <v>0</v>
      </c>
      <c r="I1869" s="792">
        <f t="shared" si="118"/>
        <v>0</v>
      </c>
      <c r="J1869" s="792"/>
      <c r="K1869" s="812"/>
      <c r="L1869" s="796"/>
      <c r="M1869" s="812"/>
      <c r="N1869" s="796"/>
      <c r="O1869" s="796"/>
    </row>
    <row r="1870" spans="3:15" ht="13.5" thickBot="1">
      <c r="C1870" s="798">
        <f>IF(D1805="","-",+C1869+1)</f>
        <v>2074</v>
      </c>
      <c r="D1870" s="799">
        <f t="shared" si="114"/>
        <v>0</v>
      </c>
      <c r="E1870" s="800">
        <f t="shared" si="119"/>
        <v>0</v>
      </c>
      <c r="F1870" s="799">
        <f t="shared" si="115"/>
        <v>0</v>
      </c>
      <c r="G1870" s="801">
        <f t="shared" si="116"/>
        <v>0</v>
      </c>
      <c r="H1870" s="801">
        <f t="shared" si="117"/>
        <v>0</v>
      </c>
      <c r="I1870" s="802">
        <f t="shared" si="118"/>
        <v>0</v>
      </c>
      <c r="J1870" s="792"/>
      <c r="K1870" s="813"/>
      <c r="L1870" s="803"/>
      <c r="M1870" s="813"/>
      <c r="N1870" s="803"/>
      <c r="O1870" s="803"/>
    </row>
    <row r="1871" spans="3:15">
      <c r="C1871" s="736" t="s">
        <v>83</v>
      </c>
      <c r="D1871" s="730"/>
      <c r="E1871" s="730">
        <f>SUM(E1811:E1870)</f>
        <v>52397331</v>
      </c>
      <c r="F1871" s="730"/>
      <c r="G1871" s="730">
        <f>SUM(G1811:G1870)</f>
        <v>188055435.57676813</v>
      </c>
      <c r="H1871" s="730">
        <f>SUM(H1811:H1870)</f>
        <v>188055435.57676813</v>
      </c>
      <c r="I1871" s="730">
        <f>SUM(I1811:I1870)</f>
        <v>0</v>
      </c>
      <c r="J1871" s="730"/>
      <c r="K1871" s="730"/>
      <c r="L1871" s="730"/>
      <c r="M1871" s="730"/>
      <c r="N1871" s="730"/>
      <c r="O1871" s="313"/>
    </row>
    <row r="1872" spans="3:15">
      <c r="D1872" s="538"/>
      <c r="E1872" s="313"/>
      <c r="F1872" s="313"/>
      <c r="G1872" s="313"/>
      <c r="H1872" s="708"/>
      <c r="I1872" s="708"/>
      <c r="J1872" s="730"/>
      <c r="K1872" s="708"/>
      <c r="L1872" s="708"/>
      <c r="M1872" s="708"/>
      <c r="N1872" s="708"/>
      <c r="O1872" s="313"/>
    </row>
    <row r="1873" spans="1:16">
      <c r="C1873" s="313" t="s">
        <v>13</v>
      </c>
      <c r="D1873" s="538"/>
      <c r="E1873" s="313"/>
      <c r="F1873" s="313"/>
      <c r="G1873" s="313"/>
      <c r="H1873" s="708"/>
      <c r="I1873" s="708"/>
      <c r="J1873" s="730"/>
      <c r="K1873" s="708"/>
      <c r="L1873" s="708"/>
      <c r="M1873" s="708"/>
      <c r="N1873" s="708"/>
      <c r="O1873" s="313"/>
    </row>
    <row r="1874" spans="1:16">
      <c r="C1874" s="313"/>
      <c r="D1874" s="538"/>
      <c r="E1874" s="313"/>
      <c r="F1874" s="313"/>
      <c r="G1874" s="313"/>
      <c r="H1874" s="708"/>
      <c r="I1874" s="708"/>
      <c r="J1874" s="730"/>
      <c r="K1874" s="708"/>
      <c r="L1874" s="708"/>
      <c r="M1874" s="708"/>
      <c r="N1874" s="708"/>
      <c r="O1874" s="313"/>
    </row>
    <row r="1875" spans="1:16">
      <c r="C1875" s="749" t="s">
        <v>14</v>
      </c>
      <c r="D1875" s="736"/>
      <c r="E1875" s="736"/>
      <c r="F1875" s="736"/>
      <c r="G1875" s="730"/>
      <c r="H1875" s="730"/>
      <c r="I1875" s="804"/>
      <c r="J1875" s="804"/>
      <c r="K1875" s="804"/>
      <c r="L1875" s="804"/>
      <c r="M1875" s="804"/>
      <c r="N1875" s="804"/>
      <c r="O1875" s="313"/>
    </row>
    <row r="1876" spans="1:16">
      <c r="C1876" s="735" t="s">
        <v>263</v>
      </c>
      <c r="D1876" s="736"/>
      <c r="E1876" s="736"/>
      <c r="F1876" s="736"/>
      <c r="G1876" s="730"/>
      <c r="H1876" s="730"/>
      <c r="I1876" s="804"/>
      <c r="J1876" s="804"/>
      <c r="K1876" s="804"/>
      <c r="L1876" s="804"/>
      <c r="M1876" s="804"/>
      <c r="N1876" s="804"/>
      <c r="O1876" s="313"/>
    </row>
    <row r="1877" spans="1:16">
      <c r="C1877" s="735" t="s">
        <v>84</v>
      </c>
      <c r="D1877" s="736"/>
      <c r="E1877" s="736"/>
      <c r="F1877" s="736"/>
      <c r="G1877" s="730"/>
      <c r="H1877" s="730"/>
      <c r="I1877" s="804"/>
      <c r="J1877" s="804"/>
      <c r="K1877" s="804"/>
      <c r="L1877" s="804"/>
      <c r="M1877" s="804"/>
      <c r="N1877" s="804"/>
      <c r="O1877" s="313"/>
    </row>
    <row r="1878" spans="1:16">
      <c r="C1878" s="735"/>
      <c r="D1878" s="736"/>
      <c r="E1878" s="736"/>
      <c r="F1878" s="736"/>
      <c r="G1878" s="730"/>
      <c r="H1878" s="730"/>
      <c r="I1878" s="804"/>
      <c r="J1878" s="804"/>
      <c r="K1878" s="804"/>
      <c r="L1878" s="804"/>
      <c r="M1878" s="804"/>
      <c r="N1878" s="804"/>
      <c r="O1878" s="313"/>
    </row>
    <row r="1879" spans="1:16">
      <c r="C1879" s="1547" t="s">
        <v>6</v>
      </c>
      <c r="D1879" s="1547"/>
      <c r="E1879" s="1547"/>
      <c r="F1879" s="1547"/>
      <c r="G1879" s="1547"/>
      <c r="H1879" s="1547"/>
      <c r="I1879" s="1547"/>
      <c r="J1879" s="1547"/>
      <c r="K1879" s="1547"/>
      <c r="L1879" s="1547"/>
      <c r="M1879" s="1547"/>
      <c r="N1879" s="1547"/>
      <c r="O1879" s="1547"/>
    </row>
    <row r="1880" spans="1:16">
      <c r="C1880" s="1547"/>
      <c r="D1880" s="1547"/>
      <c r="E1880" s="1547"/>
      <c r="F1880" s="1547"/>
      <c r="G1880" s="1547"/>
      <c r="H1880" s="1547"/>
      <c r="I1880" s="1547"/>
      <c r="J1880" s="1547"/>
      <c r="K1880" s="1547"/>
      <c r="L1880" s="1547"/>
      <c r="M1880" s="1547"/>
      <c r="N1880" s="1547"/>
      <c r="O1880" s="1547"/>
    </row>
    <row r="1881" spans="1:16">
      <c r="C1881" s="735"/>
      <c r="D1881" s="736"/>
      <c r="E1881" s="736"/>
      <c r="F1881" s="736"/>
      <c r="G1881" s="730"/>
      <c r="H1881" s="730"/>
    </row>
    <row r="1882" spans="1:16" ht="20.25">
      <c r="A1882" s="737" t="str">
        <f>""&amp;A1806&amp;" Worksheet J -  ATRR PROJECTED Calculation for PJM Projects Charged to Benefiting Zones"</f>
        <v xml:space="preserve"> Worksheet J -  ATRR PROJECTED Calculation for PJM Projects Charged to Benefiting Zones</v>
      </c>
      <c r="B1882" s="347"/>
      <c r="C1882" s="725"/>
      <c r="D1882" s="538"/>
      <c r="E1882" s="313"/>
      <c r="F1882" s="707"/>
      <c r="G1882" s="313"/>
      <c r="H1882" s="708"/>
      <c r="K1882" s="564"/>
      <c r="L1882" s="564"/>
      <c r="M1882" s="564"/>
      <c r="N1882" s="653" t="str">
        <f>"Page "&amp;SUM(P$8:P1882)&amp;" of "</f>
        <v xml:space="preserve">Page 22 of </v>
      </c>
      <c r="O1882" s="654">
        <f>COUNT(P$8:P$56653)</f>
        <v>23</v>
      </c>
      <c r="P1882" s="172">
        <v>1</v>
      </c>
    </row>
    <row r="1883" spans="1:16">
      <c r="B1883" s="347"/>
      <c r="C1883" s="313"/>
      <c r="D1883" s="538"/>
      <c r="E1883" s="313"/>
      <c r="F1883" s="313"/>
      <c r="G1883" s="313"/>
      <c r="H1883" s="708"/>
      <c r="I1883" s="313"/>
      <c r="J1883" s="426"/>
      <c r="K1883" s="313"/>
      <c r="L1883" s="313"/>
      <c r="M1883" s="313"/>
      <c r="N1883" s="313"/>
      <c r="O1883" s="313"/>
    </row>
    <row r="1884" spans="1:16" ht="18">
      <c r="B1884" s="657" t="s">
        <v>466</v>
      </c>
      <c r="C1884" s="739" t="s">
        <v>85</v>
      </c>
      <c r="D1884" s="538"/>
      <c r="E1884" s="313"/>
      <c r="F1884" s="313"/>
      <c r="G1884" s="313"/>
      <c r="H1884" s="708"/>
      <c r="I1884" s="708"/>
      <c r="J1884" s="730"/>
      <c r="K1884" s="708"/>
      <c r="L1884" s="708"/>
      <c r="M1884" s="708"/>
      <c r="N1884" s="708"/>
      <c r="O1884" s="313"/>
    </row>
    <row r="1885" spans="1:16" ht="18.75">
      <c r="B1885" s="657"/>
      <c r="C1885" s="656"/>
      <c r="D1885" s="538"/>
      <c r="E1885" s="313"/>
      <c r="F1885" s="313"/>
      <c r="G1885" s="313"/>
      <c r="H1885" s="708"/>
      <c r="I1885" s="708"/>
      <c r="J1885" s="730"/>
      <c r="K1885" s="708"/>
      <c r="L1885" s="708"/>
      <c r="M1885" s="708"/>
      <c r="N1885" s="708"/>
      <c r="O1885" s="313"/>
    </row>
    <row r="1886" spans="1:16" ht="18.75">
      <c r="B1886" s="657"/>
      <c r="C1886" s="656" t="s">
        <v>86</v>
      </c>
      <c r="D1886" s="538"/>
      <c r="E1886" s="313"/>
      <c r="F1886" s="313"/>
      <c r="G1886" s="313"/>
      <c r="H1886" s="708"/>
      <c r="I1886" s="708"/>
      <c r="J1886" s="730"/>
      <c r="K1886" s="708"/>
      <c r="L1886" s="708"/>
      <c r="M1886" s="708"/>
      <c r="N1886" s="708"/>
      <c r="O1886" s="313"/>
    </row>
    <row r="1887" spans="1:16" ht="15.75" thickBot="1">
      <c r="C1887" s="239"/>
      <c r="D1887" s="538"/>
      <c r="E1887" s="313"/>
      <c r="F1887" s="313"/>
      <c r="G1887" s="313"/>
      <c r="H1887" s="708"/>
      <c r="I1887" s="708"/>
      <c r="J1887" s="730"/>
      <c r="K1887" s="708"/>
      <c r="L1887" s="708"/>
      <c r="M1887" s="708"/>
      <c r="N1887" s="708"/>
      <c r="O1887" s="313"/>
    </row>
    <row r="1888" spans="1:16" ht="15.75">
      <c r="C1888" s="659" t="s">
        <v>87</v>
      </c>
      <c r="D1888" s="538"/>
      <c r="E1888" s="313"/>
      <c r="F1888" s="313"/>
      <c r="G1888" s="806"/>
      <c r="H1888" s="313" t="s">
        <v>66</v>
      </c>
      <c r="I1888" s="313"/>
      <c r="J1888" s="426"/>
      <c r="K1888" s="740" t="s">
        <v>91</v>
      </c>
      <c r="L1888" s="741"/>
      <c r="M1888" s="742"/>
      <c r="N1888" s="743">
        <f>IF(I1894=0,0,VLOOKUP(I1894,C1901:O1960,5))</f>
        <v>404975.0567236591</v>
      </c>
      <c r="O1888" s="313"/>
    </row>
    <row r="1889" spans="2:15" ht="15.75">
      <c r="C1889" s="659"/>
      <c r="D1889" s="538"/>
      <c r="E1889" s="313"/>
      <c r="F1889" s="313"/>
      <c r="G1889" s="313"/>
      <c r="H1889" s="744"/>
      <c r="I1889" s="744"/>
      <c r="J1889" s="745"/>
      <c r="K1889" s="746" t="s">
        <v>92</v>
      </c>
      <c r="L1889" s="747"/>
      <c r="M1889" s="426"/>
      <c r="N1889" s="748">
        <f>IF(I1894=0,0,VLOOKUP(I1894,C1901:O1960,6))</f>
        <v>404975.0567236591</v>
      </c>
      <c r="O1889" s="313"/>
    </row>
    <row r="1890" spans="2:15" ht="13.5" thickBot="1">
      <c r="C1890" s="749" t="s">
        <v>88</v>
      </c>
      <c r="D1890" s="1537" t="s">
        <v>830</v>
      </c>
      <c r="E1890" s="1537"/>
      <c r="F1890" s="1537"/>
      <c r="G1890" s="1537"/>
      <c r="H1890" s="1537"/>
      <c r="I1890" s="1537"/>
      <c r="J1890" s="730"/>
      <c r="K1890" s="750" t="s">
        <v>230</v>
      </c>
      <c r="L1890" s="751"/>
      <c r="M1890" s="751"/>
      <c r="N1890" s="752">
        <f>+N1889-N1888</f>
        <v>0</v>
      </c>
      <c r="O1890" s="313"/>
    </row>
    <row r="1891" spans="2:15">
      <c r="C1891" s="753"/>
      <c r="D1891" s="754"/>
      <c r="E1891" s="734"/>
      <c r="F1891" s="734"/>
      <c r="G1891" s="755"/>
      <c r="H1891" s="708"/>
      <c r="I1891" s="708"/>
      <c r="J1891" s="730"/>
      <c r="K1891" s="708"/>
      <c r="L1891" s="708"/>
      <c r="M1891" s="708"/>
      <c r="N1891" s="708"/>
      <c r="O1891" s="313"/>
    </row>
    <row r="1892" spans="2:15" ht="13.5" thickBot="1">
      <c r="C1892" s="756"/>
      <c r="D1892" s="757"/>
      <c r="E1892" s="755"/>
      <c r="F1892" s="755"/>
      <c r="G1892" s="755"/>
      <c r="H1892" s="755"/>
      <c r="I1892" s="755"/>
      <c r="J1892" s="758"/>
      <c r="K1892" s="755"/>
      <c r="L1892" s="755"/>
      <c r="M1892" s="755"/>
      <c r="N1892" s="755"/>
      <c r="O1892" s="347"/>
    </row>
    <row r="1893" spans="2:15" ht="13.5" thickBot="1">
      <c r="C1893" s="759" t="s">
        <v>89</v>
      </c>
      <c r="D1893" s="760"/>
      <c r="E1893" s="760"/>
      <c r="F1893" s="760"/>
      <c r="G1893" s="760"/>
      <c r="H1893" s="760"/>
      <c r="I1893" s="761"/>
      <c r="J1893" s="762"/>
      <c r="K1893" s="313"/>
      <c r="L1893" s="313"/>
      <c r="M1893" s="313"/>
      <c r="N1893" s="313"/>
      <c r="O1893" s="763"/>
    </row>
    <row r="1894" spans="2:15" ht="15">
      <c r="C1894" s="764" t="s">
        <v>67</v>
      </c>
      <c r="D1894" s="808">
        <v>2693235</v>
      </c>
      <c r="E1894" s="725" t="s">
        <v>68</v>
      </c>
      <c r="G1894" s="765"/>
      <c r="H1894" s="765"/>
      <c r="I1894" s="766">
        <f>$L$26</f>
        <v>2023</v>
      </c>
      <c r="J1894" s="554"/>
      <c r="K1894" s="1536" t="s">
        <v>239</v>
      </c>
      <c r="L1894" s="1536"/>
      <c r="M1894" s="1536"/>
      <c r="N1894" s="1536"/>
      <c r="O1894" s="1536"/>
    </row>
    <row r="1895" spans="2:15">
      <c r="C1895" s="764" t="s">
        <v>70</v>
      </c>
      <c r="D1895" s="809">
        <v>2017</v>
      </c>
      <c r="E1895" s="764" t="s">
        <v>71</v>
      </c>
      <c r="F1895" s="765"/>
      <c r="H1895" s="172"/>
      <c r="I1895" s="810">
        <f>IF(G1888="",0,$F$17)</f>
        <v>0</v>
      </c>
      <c r="J1895" s="767"/>
      <c r="K1895" s="730" t="s">
        <v>239</v>
      </c>
    </row>
    <row r="1896" spans="2:15">
      <c r="C1896" s="764" t="s">
        <v>72</v>
      </c>
      <c r="D1896" s="808">
        <v>12</v>
      </c>
      <c r="E1896" s="764" t="s">
        <v>73</v>
      </c>
      <c r="F1896" s="765"/>
      <c r="H1896" s="172"/>
      <c r="I1896" s="768">
        <f>$G$70</f>
        <v>0.14450383244078713</v>
      </c>
      <c r="J1896" s="769"/>
      <c r="K1896" s="172" t="str">
        <f>"          INPUT PROJECTED ARR (WITH &amp; WITHOUT INCENTIVES) FROM EACH PRIOR YEAR"</f>
        <v xml:space="preserve">          INPUT PROJECTED ARR (WITH &amp; WITHOUT INCENTIVES) FROM EACH PRIOR YEAR</v>
      </c>
    </row>
    <row r="1897" spans="2:15">
      <c r="C1897" s="764" t="s">
        <v>74</v>
      </c>
      <c r="D1897" s="770">
        <f>$G$79</f>
        <v>35</v>
      </c>
      <c r="E1897" s="764" t="s">
        <v>75</v>
      </c>
      <c r="F1897" s="765"/>
      <c r="H1897" s="172"/>
      <c r="I1897" s="768">
        <f>IF(G1888="",I1896,$G$69)</f>
        <v>0.14450383244078713</v>
      </c>
      <c r="J1897" s="771"/>
      <c r="K1897" s="172" t="s">
        <v>152</v>
      </c>
    </row>
    <row r="1898" spans="2:15" ht="13.5" thickBot="1">
      <c r="C1898" s="764" t="s">
        <v>76</v>
      </c>
      <c r="D1898" s="807" t="s">
        <v>808</v>
      </c>
      <c r="E1898" s="772" t="s">
        <v>77</v>
      </c>
      <c r="F1898" s="773"/>
      <c r="G1898" s="774"/>
      <c r="H1898" s="774"/>
      <c r="I1898" s="752">
        <f>IF(D1894=0,0,D1894/D1897)</f>
        <v>76949.571428571435</v>
      </c>
      <c r="J1898" s="730"/>
      <c r="K1898" s="730" t="s">
        <v>158</v>
      </c>
      <c r="L1898" s="730"/>
      <c r="M1898" s="730"/>
      <c r="N1898" s="730"/>
      <c r="O1898" s="426"/>
    </row>
    <row r="1899" spans="2:15" ht="38.25">
      <c r="B1899" s="845"/>
      <c r="C1899" s="775" t="s">
        <v>67</v>
      </c>
      <c r="D1899" s="776" t="s">
        <v>78</v>
      </c>
      <c r="E1899" s="777" t="s">
        <v>79</v>
      </c>
      <c r="F1899" s="776" t="s">
        <v>80</v>
      </c>
      <c r="G1899" s="777" t="s">
        <v>151</v>
      </c>
      <c r="H1899" s="778" t="s">
        <v>151</v>
      </c>
      <c r="I1899" s="775" t="s">
        <v>90</v>
      </c>
      <c r="J1899" s="779"/>
      <c r="K1899" s="777" t="s">
        <v>160</v>
      </c>
      <c r="L1899" s="780"/>
      <c r="M1899" s="777" t="s">
        <v>160</v>
      </c>
      <c r="N1899" s="780"/>
      <c r="O1899" s="780"/>
    </row>
    <row r="1900" spans="2:15" ht="13.5" thickBot="1">
      <c r="C1900" s="781" t="s">
        <v>469</v>
      </c>
      <c r="D1900" s="782" t="s">
        <v>470</v>
      </c>
      <c r="E1900" s="781" t="s">
        <v>363</v>
      </c>
      <c r="F1900" s="782" t="s">
        <v>470</v>
      </c>
      <c r="G1900" s="783" t="s">
        <v>93</v>
      </c>
      <c r="H1900" s="784" t="s">
        <v>95</v>
      </c>
      <c r="I1900" s="785" t="s">
        <v>15</v>
      </c>
      <c r="J1900" s="786"/>
      <c r="K1900" s="783" t="s">
        <v>82</v>
      </c>
      <c r="L1900" s="787"/>
      <c r="M1900" s="783" t="s">
        <v>95</v>
      </c>
      <c r="N1900" s="787"/>
      <c r="O1900" s="787"/>
    </row>
    <row r="1901" spans="2:15">
      <c r="C1901" s="788">
        <f>IF(D1895= "","-",D1895)</f>
        <v>2017</v>
      </c>
      <c r="D1901" s="736">
        <f>+D1894</f>
        <v>2693235</v>
      </c>
      <c r="E1901" s="789">
        <f>+I1898/12*(12-D1896)</f>
        <v>0</v>
      </c>
      <c r="F1901" s="736">
        <f>+D1901-E1901</f>
        <v>2693235</v>
      </c>
      <c r="G1901" s="985">
        <f>+$I$96*((D1901+F1901)/2)+E1901</f>
        <v>389182.77916366333</v>
      </c>
      <c r="H1901" s="986">
        <f>$I$97*((D1901+F1901)/2)+E1901</f>
        <v>389182.77916366333</v>
      </c>
      <c r="I1901" s="792">
        <f>+H1901-G1901</f>
        <v>0</v>
      </c>
      <c r="J1901" s="792"/>
      <c r="K1901" s="811">
        <v>525167</v>
      </c>
      <c r="L1901" s="793"/>
      <c r="M1901" s="811">
        <v>525167</v>
      </c>
      <c r="N1901" s="793"/>
      <c r="O1901" s="793"/>
    </row>
    <row r="1902" spans="2:15">
      <c r="C1902" s="1312">
        <f>IF(D1895="","-",+C1901+1)</f>
        <v>2018</v>
      </c>
      <c r="D1902" s="736">
        <f t="shared" ref="D1902:D1960" si="120">F1901</f>
        <v>2693235</v>
      </c>
      <c r="E1902" s="789">
        <f>IF(D1902&gt;$I$1898,$I$1898,D1902)</f>
        <v>76949.571428571435</v>
      </c>
      <c r="F1902" s="736">
        <f t="shared" ref="F1902:F1960" si="121">+D1902-E1902</f>
        <v>2616285.4285714286</v>
      </c>
      <c r="G1902" s="794">
        <f t="shared" ref="G1902:G1960" si="122">+$I$96*((D1902+F1902)/2)+E1902</f>
        <v>460572.59660418244</v>
      </c>
      <c r="H1902" s="795">
        <f t="shared" ref="H1902:H1960" si="123">$I$97*((D1902+F1902)/2)+E1902</f>
        <v>460572.59660418244</v>
      </c>
      <c r="I1902" s="792">
        <f t="shared" ref="I1902:I1960" si="124">+H1902-G1902</f>
        <v>0</v>
      </c>
      <c r="J1902" s="792"/>
      <c r="K1902" s="812">
        <v>400069</v>
      </c>
      <c r="L1902" s="796"/>
      <c r="M1902" s="812">
        <v>400069</v>
      </c>
      <c r="N1902" s="796"/>
      <c r="O1902" s="796"/>
    </row>
    <row r="1903" spans="2:15">
      <c r="C1903" s="1290">
        <f>IF(D1895="","-",+C1902+1)</f>
        <v>2019</v>
      </c>
      <c r="D1903" s="736">
        <f t="shared" si="120"/>
        <v>2616285.4285714286</v>
      </c>
      <c r="E1903" s="789">
        <f t="shared" ref="E1903:E1960" si="125">IF(D1903&gt;$I$1898,$I$1898,D1903)</f>
        <v>76949.571428571435</v>
      </c>
      <c r="F1903" s="736">
        <f t="shared" si="121"/>
        <v>2539335.8571428573</v>
      </c>
      <c r="G1903" s="794">
        <f t="shared" si="122"/>
        <v>449453.0886280777</v>
      </c>
      <c r="H1903" s="795">
        <f t="shared" si="123"/>
        <v>449453.0886280777</v>
      </c>
      <c r="I1903" s="792">
        <f t="shared" si="124"/>
        <v>0</v>
      </c>
      <c r="J1903" s="792"/>
      <c r="K1903" s="812"/>
      <c r="L1903" s="796"/>
      <c r="M1903" s="812"/>
      <c r="N1903" s="796"/>
      <c r="O1903" s="796"/>
    </row>
    <row r="1904" spans="2:15">
      <c r="C1904" s="788">
        <f>IF(D1895="","-",+C1903+1)</f>
        <v>2020</v>
      </c>
      <c r="D1904" s="736">
        <f t="shared" si="120"/>
        <v>2539335.8571428573</v>
      </c>
      <c r="E1904" s="789">
        <f t="shared" si="125"/>
        <v>76949.571428571435</v>
      </c>
      <c r="F1904" s="736">
        <f t="shared" si="121"/>
        <v>2462386.2857142859</v>
      </c>
      <c r="G1904" s="794">
        <f t="shared" si="122"/>
        <v>438333.58065197314</v>
      </c>
      <c r="H1904" s="795">
        <f t="shared" si="123"/>
        <v>438333.58065197314</v>
      </c>
      <c r="I1904" s="792">
        <f t="shared" si="124"/>
        <v>0</v>
      </c>
      <c r="J1904" s="792"/>
      <c r="K1904" s="812"/>
      <c r="L1904" s="796"/>
      <c r="M1904" s="812"/>
      <c r="N1904" s="796"/>
      <c r="O1904" s="796"/>
    </row>
    <row r="1905" spans="3:15">
      <c r="C1905" s="788">
        <f>IF(D1895="","-",+C1904+1)</f>
        <v>2021</v>
      </c>
      <c r="D1905" s="736">
        <f t="shared" si="120"/>
        <v>2462386.2857142859</v>
      </c>
      <c r="E1905" s="789">
        <f t="shared" si="125"/>
        <v>76949.571428571435</v>
      </c>
      <c r="F1905" s="736">
        <f t="shared" si="121"/>
        <v>2385436.7142857146</v>
      </c>
      <c r="G1905" s="794">
        <f t="shared" si="122"/>
        <v>427214.0726758684</v>
      </c>
      <c r="H1905" s="795">
        <f t="shared" si="123"/>
        <v>427214.0726758684</v>
      </c>
      <c r="I1905" s="792">
        <f t="shared" si="124"/>
        <v>0</v>
      </c>
      <c r="J1905" s="792"/>
      <c r="K1905" s="812"/>
      <c r="L1905" s="796"/>
      <c r="M1905" s="812"/>
      <c r="N1905" s="796"/>
      <c r="O1905" s="796"/>
    </row>
    <row r="1906" spans="3:15">
      <c r="C1906" s="788">
        <f>IF(D1895="","-",+C1905+1)</f>
        <v>2022</v>
      </c>
      <c r="D1906" s="736">
        <f t="shared" si="120"/>
        <v>2385436.7142857146</v>
      </c>
      <c r="E1906" s="789">
        <f t="shared" si="125"/>
        <v>76949.571428571435</v>
      </c>
      <c r="F1906" s="736">
        <f t="shared" si="121"/>
        <v>2308487.1428571432</v>
      </c>
      <c r="G1906" s="794">
        <f t="shared" si="122"/>
        <v>416094.56469976384</v>
      </c>
      <c r="H1906" s="795">
        <f t="shared" si="123"/>
        <v>416094.56469976384</v>
      </c>
      <c r="I1906" s="792">
        <f t="shared" si="124"/>
        <v>0</v>
      </c>
      <c r="J1906" s="792"/>
      <c r="K1906" s="812"/>
      <c r="L1906" s="796"/>
      <c r="M1906" s="812"/>
      <c r="N1906" s="796"/>
      <c r="O1906" s="796"/>
    </row>
    <row r="1907" spans="3:15">
      <c r="C1907" s="788">
        <f>IF(D1895="","-",+C1906+1)</f>
        <v>2023</v>
      </c>
      <c r="D1907" s="736">
        <f t="shared" si="120"/>
        <v>2308487.1428571432</v>
      </c>
      <c r="E1907" s="789">
        <f t="shared" si="125"/>
        <v>76949.571428571435</v>
      </c>
      <c r="F1907" s="736">
        <f t="shared" si="121"/>
        <v>2231537.5714285718</v>
      </c>
      <c r="G1907" s="794">
        <f t="shared" si="122"/>
        <v>404975.0567236591</v>
      </c>
      <c r="H1907" s="795">
        <f t="shared" si="123"/>
        <v>404975.0567236591</v>
      </c>
      <c r="I1907" s="792">
        <f t="shared" si="124"/>
        <v>0</v>
      </c>
      <c r="J1907" s="792"/>
      <c r="K1907" s="812"/>
      <c r="L1907" s="796"/>
      <c r="M1907" s="812"/>
      <c r="N1907" s="796"/>
      <c r="O1907" s="796"/>
    </row>
    <row r="1908" spans="3:15">
      <c r="C1908" s="788">
        <f>IF(D1895="","-",+C1907+1)</f>
        <v>2024</v>
      </c>
      <c r="D1908" s="736">
        <f t="shared" si="120"/>
        <v>2231537.5714285718</v>
      </c>
      <c r="E1908" s="789">
        <f t="shared" si="125"/>
        <v>76949.571428571435</v>
      </c>
      <c r="F1908" s="736">
        <f t="shared" si="121"/>
        <v>2154588.0000000005</v>
      </c>
      <c r="G1908" s="794">
        <f t="shared" si="122"/>
        <v>393855.54874755448</v>
      </c>
      <c r="H1908" s="795">
        <f t="shared" si="123"/>
        <v>393855.54874755448</v>
      </c>
      <c r="I1908" s="792">
        <f t="shared" si="124"/>
        <v>0</v>
      </c>
      <c r="J1908" s="792"/>
      <c r="K1908" s="812"/>
      <c r="L1908" s="796"/>
      <c r="M1908" s="812"/>
      <c r="N1908" s="796"/>
      <c r="O1908" s="796"/>
    </row>
    <row r="1909" spans="3:15">
      <c r="C1909" s="788">
        <f>IF(D1895="","-",+C1908+1)</f>
        <v>2025</v>
      </c>
      <c r="D1909" s="736">
        <f t="shared" si="120"/>
        <v>2154588.0000000005</v>
      </c>
      <c r="E1909" s="789">
        <f t="shared" si="125"/>
        <v>76949.571428571435</v>
      </c>
      <c r="F1909" s="736">
        <f t="shared" si="121"/>
        <v>2077638.4285714291</v>
      </c>
      <c r="G1909" s="794">
        <f t="shared" si="122"/>
        <v>382736.0407714498</v>
      </c>
      <c r="H1909" s="795">
        <f t="shared" si="123"/>
        <v>382736.0407714498</v>
      </c>
      <c r="I1909" s="792">
        <f t="shared" si="124"/>
        <v>0</v>
      </c>
      <c r="J1909" s="792"/>
      <c r="K1909" s="812"/>
      <c r="L1909" s="796"/>
      <c r="M1909" s="812"/>
      <c r="N1909" s="796"/>
      <c r="O1909" s="796"/>
    </row>
    <row r="1910" spans="3:15">
      <c r="C1910" s="788">
        <f>IF(D1895="","-",+C1909+1)</f>
        <v>2026</v>
      </c>
      <c r="D1910" s="736">
        <f t="shared" si="120"/>
        <v>2077638.4285714291</v>
      </c>
      <c r="E1910" s="789">
        <f t="shared" si="125"/>
        <v>76949.571428571435</v>
      </c>
      <c r="F1910" s="736">
        <f t="shared" si="121"/>
        <v>2000688.8571428577</v>
      </c>
      <c r="G1910" s="794">
        <f t="shared" si="122"/>
        <v>371616.53279534518</v>
      </c>
      <c r="H1910" s="795">
        <f t="shared" si="123"/>
        <v>371616.53279534518</v>
      </c>
      <c r="I1910" s="792">
        <f t="shared" si="124"/>
        <v>0</v>
      </c>
      <c r="J1910" s="792"/>
      <c r="K1910" s="812"/>
      <c r="L1910" s="796"/>
      <c r="M1910" s="812"/>
      <c r="N1910" s="796"/>
      <c r="O1910" s="796"/>
    </row>
    <row r="1911" spans="3:15">
      <c r="C1911" s="788">
        <f>IF(D1895="","-",+C1910+1)</f>
        <v>2027</v>
      </c>
      <c r="D1911" s="736">
        <f t="shared" si="120"/>
        <v>2000688.8571428577</v>
      </c>
      <c r="E1911" s="789">
        <f t="shared" si="125"/>
        <v>76949.571428571435</v>
      </c>
      <c r="F1911" s="736">
        <f t="shared" si="121"/>
        <v>1923739.2857142864</v>
      </c>
      <c r="G1911" s="794">
        <f t="shared" si="122"/>
        <v>360497.0248192405</v>
      </c>
      <c r="H1911" s="795">
        <f t="shared" si="123"/>
        <v>360497.0248192405</v>
      </c>
      <c r="I1911" s="792">
        <f t="shared" si="124"/>
        <v>0</v>
      </c>
      <c r="J1911" s="792"/>
      <c r="K1911" s="812"/>
      <c r="L1911" s="796"/>
      <c r="M1911" s="812"/>
      <c r="N1911" s="796"/>
      <c r="O1911" s="796"/>
    </row>
    <row r="1912" spans="3:15">
      <c r="C1912" s="788">
        <f>IF(D1895="","-",+C1911+1)</f>
        <v>2028</v>
      </c>
      <c r="D1912" s="736">
        <f t="shared" si="120"/>
        <v>1923739.2857142864</v>
      </c>
      <c r="E1912" s="789">
        <f t="shared" si="125"/>
        <v>76949.571428571435</v>
      </c>
      <c r="F1912" s="736">
        <f t="shared" si="121"/>
        <v>1846789.714285715</v>
      </c>
      <c r="G1912" s="794">
        <f t="shared" si="122"/>
        <v>349377.51684313582</v>
      </c>
      <c r="H1912" s="795">
        <f t="shared" si="123"/>
        <v>349377.51684313582</v>
      </c>
      <c r="I1912" s="792">
        <f t="shared" si="124"/>
        <v>0</v>
      </c>
      <c r="J1912" s="792"/>
      <c r="K1912" s="812"/>
      <c r="L1912" s="796"/>
      <c r="M1912" s="812"/>
      <c r="N1912" s="796"/>
      <c r="O1912" s="796"/>
    </row>
    <row r="1913" spans="3:15">
      <c r="C1913" s="788">
        <f>IF(D1895="","-",+C1912+1)</f>
        <v>2029</v>
      </c>
      <c r="D1913" s="736">
        <f t="shared" si="120"/>
        <v>1846789.714285715</v>
      </c>
      <c r="E1913" s="789">
        <f t="shared" si="125"/>
        <v>76949.571428571435</v>
      </c>
      <c r="F1913" s="736">
        <f t="shared" si="121"/>
        <v>1769840.1428571437</v>
      </c>
      <c r="G1913" s="794">
        <f t="shared" si="122"/>
        <v>338258.0088670312</v>
      </c>
      <c r="H1913" s="795">
        <f t="shared" si="123"/>
        <v>338258.0088670312</v>
      </c>
      <c r="I1913" s="792">
        <f t="shared" si="124"/>
        <v>0</v>
      </c>
      <c r="J1913" s="792"/>
      <c r="K1913" s="812"/>
      <c r="L1913" s="796"/>
      <c r="M1913" s="812"/>
      <c r="N1913" s="797"/>
      <c r="O1913" s="796"/>
    </row>
    <row r="1914" spans="3:15">
      <c r="C1914" s="788">
        <f>IF(D1895="","-",+C1913+1)</f>
        <v>2030</v>
      </c>
      <c r="D1914" s="736">
        <f t="shared" si="120"/>
        <v>1769840.1428571437</v>
      </c>
      <c r="E1914" s="789">
        <f t="shared" si="125"/>
        <v>76949.571428571435</v>
      </c>
      <c r="F1914" s="736">
        <f t="shared" si="121"/>
        <v>1692890.5714285723</v>
      </c>
      <c r="G1914" s="794">
        <f t="shared" si="122"/>
        <v>327138.50089092657</v>
      </c>
      <c r="H1914" s="795">
        <f t="shared" si="123"/>
        <v>327138.50089092657</v>
      </c>
      <c r="I1914" s="792">
        <f t="shared" si="124"/>
        <v>0</v>
      </c>
      <c r="J1914" s="792"/>
      <c r="K1914" s="812"/>
      <c r="L1914" s="796"/>
      <c r="M1914" s="812"/>
      <c r="N1914" s="796"/>
      <c r="O1914" s="796"/>
    </row>
    <row r="1915" spans="3:15">
      <c r="C1915" s="788">
        <f>IF(D1895="","-",+C1914+1)</f>
        <v>2031</v>
      </c>
      <c r="D1915" s="736">
        <f t="shared" si="120"/>
        <v>1692890.5714285723</v>
      </c>
      <c r="E1915" s="789">
        <f t="shared" si="125"/>
        <v>76949.571428571435</v>
      </c>
      <c r="F1915" s="736">
        <f t="shared" si="121"/>
        <v>1615941.0000000009</v>
      </c>
      <c r="G1915" s="794">
        <f t="shared" si="122"/>
        <v>316018.99291482189</v>
      </c>
      <c r="H1915" s="795">
        <f t="shared" si="123"/>
        <v>316018.99291482189</v>
      </c>
      <c r="I1915" s="792">
        <f t="shared" si="124"/>
        <v>0</v>
      </c>
      <c r="J1915" s="792"/>
      <c r="K1915" s="812"/>
      <c r="L1915" s="796"/>
      <c r="M1915" s="812"/>
      <c r="N1915" s="796"/>
      <c r="O1915" s="796"/>
    </row>
    <row r="1916" spans="3:15">
      <c r="C1916" s="788">
        <f>IF(D1895="","-",+C1915+1)</f>
        <v>2032</v>
      </c>
      <c r="D1916" s="736">
        <f t="shared" si="120"/>
        <v>1615941.0000000009</v>
      </c>
      <c r="E1916" s="789">
        <f t="shared" si="125"/>
        <v>76949.571428571435</v>
      </c>
      <c r="F1916" s="736">
        <f t="shared" si="121"/>
        <v>1538991.4285714296</v>
      </c>
      <c r="G1916" s="794">
        <f t="shared" si="122"/>
        <v>304899.48493871721</v>
      </c>
      <c r="H1916" s="795">
        <f t="shared" si="123"/>
        <v>304899.48493871721</v>
      </c>
      <c r="I1916" s="792">
        <f t="shared" si="124"/>
        <v>0</v>
      </c>
      <c r="J1916" s="792"/>
      <c r="K1916" s="812"/>
      <c r="L1916" s="796"/>
      <c r="M1916" s="812"/>
      <c r="N1916" s="796"/>
      <c r="O1916" s="796"/>
    </row>
    <row r="1917" spans="3:15">
      <c r="C1917" s="788">
        <f>IF(D1895="","-",+C1916+1)</f>
        <v>2033</v>
      </c>
      <c r="D1917" s="736">
        <f t="shared" si="120"/>
        <v>1538991.4285714296</v>
      </c>
      <c r="E1917" s="789">
        <f t="shared" si="125"/>
        <v>76949.571428571435</v>
      </c>
      <c r="F1917" s="736">
        <f t="shared" si="121"/>
        <v>1462041.8571428582</v>
      </c>
      <c r="G1917" s="794">
        <f t="shared" si="122"/>
        <v>293779.97696261259</v>
      </c>
      <c r="H1917" s="795">
        <f t="shared" si="123"/>
        <v>293779.97696261259</v>
      </c>
      <c r="I1917" s="792">
        <f t="shared" si="124"/>
        <v>0</v>
      </c>
      <c r="J1917" s="792"/>
      <c r="K1917" s="812"/>
      <c r="L1917" s="796"/>
      <c r="M1917" s="812"/>
      <c r="N1917" s="796"/>
      <c r="O1917" s="796"/>
    </row>
    <row r="1918" spans="3:15">
      <c r="C1918" s="788">
        <f>IF(D1895="","-",+C1917+1)</f>
        <v>2034</v>
      </c>
      <c r="D1918" s="736">
        <f t="shared" si="120"/>
        <v>1462041.8571428582</v>
      </c>
      <c r="E1918" s="789">
        <f t="shared" si="125"/>
        <v>76949.571428571435</v>
      </c>
      <c r="F1918" s="736">
        <f t="shared" si="121"/>
        <v>1385092.2857142868</v>
      </c>
      <c r="G1918" s="794">
        <f t="shared" si="122"/>
        <v>282660.46898650791</v>
      </c>
      <c r="H1918" s="795">
        <f t="shared" si="123"/>
        <v>282660.46898650791</v>
      </c>
      <c r="I1918" s="792">
        <f t="shared" si="124"/>
        <v>0</v>
      </c>
      <c r="J1918" s="792"/>
      <c r="K1918" s="812"/>
      <c r="L1918" s="796"/>
      <c r="M1918" s="812"/>
      <c r="N1918" s="796"/>
      <c r="O1918" s="796"/>
    </row>
    <row r="1919" spans="3:15">
      <c r="C1919" s="788">
        <f>IF(D1895="","-",+C1918+1)</f>
        <v>2035</v>
      </c>
      <c r="D1919" s="736">
        <f t="shared" si="120"/>
        <v>1385092.2857142868</v>
      </c>
      <c r="E1919" s="789">
        <f t="shared" si="125"/>
        <v>76949.571428571435</v>
      </c>
      <c r="F1919" s="736">
        <f t="shared" si="121"/>
        <v>1308142.7142857155</v>
      </c>
      <c r="G1919" s="794">
        <f t="shared" si="122"/>
        <v>271540.96101040329</v>
      </c>
      <c r="H1919" s="795">
        <f t="shared" si="123"/>
        <v>271540.96101040329</v>
      </c>
      <c r="I1919" s="792">
        <f t="shared" si="124"/>
        <v>0</v>
      </c>
      <c r="J1919" s="792"/>
      <c r="K1919" s="812"/>
      <c r="L1919" s="796"/>
      <c r="M1919" s="812"/>
      <c r="N1919" s="796"/>
      <c r="O1919" s="796"/>
    </row>
    <row r="1920" spans="3:15">
      <c r="C1920" s="788">
        <f>IF(D1895="","-",+C1919+1)</f>
        <v>2036</v>
      </c>
      <c r="D1920" s="736">
        <f t="shared" si="120"/>
        <v>1308142.7142857155</v>
      </c>
      <c r="E1920" s="789">
        <f t="shared" si="125"/>
        <v>76949.571428571435</v>
      </c>
      <c r="F1920" s="736">
        <f t="shared" si="121"/>
        <v>1231193.1428571441</v>
      </c>
      <c r="G1920" s="794">
        <f t="shared" si="122"/>
        <v>260421.45303429861</v>
      </c>
      <c r="H1920" s="795">
        <f t="shared" si="123"/>
        <v>260421.45303429861</v>
      </c>
      <c r="I1920" s="792">
        <f t="shared" si="124"/>
        <v>0</v>
      </c>
      <c r="J1920" s="792"/>
      <c r="K1920" s="812"/>
      <c r="L1920" s="796"/>
      <c r="M1920" s="812"/>
      <c r="N1920" s="796"/>
      <c r="O1920" s="796"/>
    </row>
    <row r="1921" spans="3:15">
      <c r="C1921" s="788">
        <f>IF(D1895="","-",+C1920+1)</f>
        <v>2037</v>
      </c>
      <c r="D1921" s="736">
        <f t="shared" si="120"/>
        <v>1231193.1428571441</v>
      </c>
      <c r="E1921" s="789">
        <f t="shared" si="125"/>
        <v>76949.571428571435</v>
      </c>
      <c r="F1921" s="736">
        <f t="shared" si="121"/>
        <v>1154243.5714285728</v>
      </c>
      <c r="G1921" s="794">
        <f t="shared" si="122"/>
        <v>249301.94505819393</v>
      </c>
      <c r="H1921" s="795">
        <f t="shared" si="123"/>
        <v>249301.94505819393</v>
      </c>
      <c r="I1921" s="792">
        <f t="shared" si="124"/>
        <v>0</v>
      </c>
      <c r="J1921" s="792"/>
      <c r="K1921" s="812"/>
      <c r="L1921" s="796"/>
      <c r="M1921" s="812"/>
      <c r="N1921" s="796"/>
      <c r="O1921" s="796"/>
    </row>
    <row r="1922" spans="3:15">
      <c r="C1922" s="788">
        <f>IF(D1895="","-",+C1921+1)</f>
        <v>2038</v>
      </c>
      <c r="D1922" s="736">
        <f t="shared" si="120"/>
        <v>1154243.5714285728</v>
      </c>
      <c r="E1922" s="789">
        <f t="shared" si="125"/>
        <v>76949.571428571435</v>
      </c>
      <c r="F1922" s="736">
        <f t="shared" si="121"/>
        <v>1077294.0000000014</v>
      </c>
      <c r="G1922" s="794">
        <f t="shared" si="122"/>
        <v>238182.43708208931</v>
      </c>
      <c r="H1922" s="795">
        <f t="shared" si="123"/>
        <v>238182.43708208931</v>
      </c>
      <c r="I1922" s="792">
        <f t="shared" si="124"/>
        <v>0</v>
      </c>
      <c r="J1922" s="792"/>
      <c r="K1922" s="812"/>
      <c r="L1922" s="796"/>
      <c r="M1922" s="812"/>
      <c r="N1922" s="796"/>
      <c r="O1922" s="796"/>
    </row>
    <row r="1923" spans="3:15">
      <c r="C1923" s="788">
        <f>IF(D1895="","-",+C1922+1)</f>
        <v>2039</v>
      </c>
      <c r="D1923" s="736">
        <f t="shared" si="120"/>
        <v>1077294.0000000014</v>
      </c>
      <c r="E1923" s="789">
        <f t="shared" si="125"/>
        <v>76949.571428571435</v>
      </c>
      <c r="F1923" s="736">
        <f t="shared" si="121"/>
        <v>1000344.4285714299</v>
      </c>
      <c r="G1923" s="794">
        <f t="shared" si="122"/>
        <v>227062.92910598463</v>
      </c>
      <c r="H1923" s="795">
        <f t="shared" si="123"/>
        <v>227062.92910598463</v>
      </c>
      <c r="I1923" s="792">
        <f t="shared" si="124"/>
        <v>0</v>
      </c>
      <c r="J1923" s="792"/>
      <c r="K1923" s="812"/>
      <c r="L1923" s="796"/>
      <c r="M1923" s="812"/>
      <c r="N1923" s="796"/>
      <c r="O1923" s="796"/>
    </row>
    <row r="1924" spans="3:15">
      <c r="C1924" s="788">
        <f>IF(D1895="","-",+C1923+1)</f>
        <v>2040</v>
      </c>
      <c r="D1924" s="736">
        <f t="shared" si="120"/>
        <v>1000344.4285714299</v>
      </c>
      <c r="E1924" s="789">
        <f t="shared" si="125"/>
        <v>76949.571428571435</v>
      </c>
      <c r="F1924" s="736">
        <f t="shared" si="121"/>
        <v>923394.85714285844</v>
      </c>
      <c r="G1924" s="794">
        <f t="shared" si="122"/>
        <v>215943.42112987995</v>
      </c>
      <c r="H1924" s="795">
        <f t="shared" si="123"/>
        <v>215943.42112987995</v>
      </c>
      <c r="I1924" s="792">
        <f t="shared" si="124"/>
        <v>0</v>
      </c>
      <c r="J1924" s="792"/>
      <c r="K1924" s="812"/>
      <c r="L1924" s="796"/>
      <c r="M1924" s="812"/>
      <c r="N1924" s="796"/>
      <c r="O1924" s="796"/>
    </row>
    <row r="1925" spans="3:15">
      <c r="C1925" s="788">
        <f>IF(D1895="","-",+C1924+1)</f>
        <v>2041</v>
      </c>
      <c r="D1925" s="736">
        <f t="shared" si="120"/>
        <v>923394.85714285844</v>
      </c>
      <c r="E1925" s="789">
        <f t="shared" si="125"/>
        <v>76949.571428571435</v>
      </c>
      <c r="F1925" s="736">
        <f t="shared" si="121"/>
        <v>846445.28571428696</v>
      </c>
      <c r="G1925" s="794">
        <f t="shared" si="122"/>
        <v>204823.91315377527</v>
      </c>
      <c r="H1925" s="795">
        <f t="shared" si="123"/>
        <v>204823.91315377527</v>
      </c>
      <c r="I1925" s="792">
        <f t="shared" si="124"/>
        <v>0</v>
      </c>
      <c r="J1925" s="792"/>
      <c r="K1925" s="812"/>
      <c r="L1925" s="796"/>
      <c r="M1925" s="812"/>
      <c r="N1925" s="796"/>
      <c r="O1925" s="796"/>
    </row>
    <row r="1926" spans="3:15">
      <c r="C1926" s="788">
        <f>IF(D1895="","-",+C1925+1)</f>
        <v>2042</v>
      </c>
      <c r="D1926" s="736">
        <f t="shared" si="120"/>
        <v>846445.28571428696</v>
      </c>
      <c r="E1926" s="789">
        <f t="shared" si="125"/>
        <v>76949.571428571435</v>
      </c>
      <c r="F1926" s="736">
        <f t="shared" si="121"/>
        <v>769495.71428571548</v>
      </c>
      <c r="G1926" s="794">
        <f t="shared" si="122"/>
        <v>193704.40517767059</v>
      </c>
      <c r="H1926" s="795">
        <f t="shared" si="123"/>
        <v>193704.40517767059</v>
      </c>
      <c r="I1926" s="792">
        <f t="shared" si="124"/>
        <v>0</v>
      </c>
      <c r="J1926" s="792"/>
      <c r="K1926" s="812"/>
      <c r="L1926" s="796"/>
      <c r="M1926" s="812"/>
      <c r="N1926" s="796"/>
      <c r="O1926" s="796"/>
    </row>
    <row r="1927" spans="3:15">
      <c r="C1927" s="788">
        <f>IF(D1895="","-",+C1926+1)</f>
        <v>2043</v>
      </c>
      <c r="D1927" s="736">
        <f t="shared" si="120"/>
        <v>769495.71428571548</v>
      </c>
      <c r="E1927" s="789">
        <f t="shared" si="125"/>
        <v>76949.571428571435</v>
      </c>
      <c r="F1927" s="736">
        <f t="shared" si="121"/>
        <v>692546.142857144</v>
      </c>
      <c r="G1927" s="794">
        <f t="shared" si="122"/>
        <v>182584.89720156594</v>
      </c>
      <c r="H1927" s="795">
        <f t="shared" si="123"/>
        <v>182584.89720156594</v>
      </c>
      <c r="I1927" s="792">
        <f t="shared" si="124"/>
        <v>0</v>
      </c>
      <c r="J1927" s="792"/>
      <c r="K1927" s="812"/>
      <c r="L1927" s="796"/>
      <c r="M1927" s="812"/>
      <c r="N1927" s="796"/>
      <c r="O1927" s="796"/>
    </row>
    <row r="1928" spans="3:15">
      <c r="C1928" s="788">
        <f>IF(D1895="","-",+C1927+1)</f>
        <v>2044</v>
      </c>
      <c r="D1928" s="736">
        <f t="shared" si="120"/>
        <v>692546.142857144</v>
      </c>
      <c r="E1928" s="789">
        <f t="shared" si="125"/>
        <v>76949.571428571435</v>
      </c>
      <c r="F1928" s="736">
        <f t="shared" si="121"/>
        <v>615596.57142857253</v>
      </c>
      <c r="G1928" s="794">
        <f t="shared" si="122"/>
        <v>171465.38922546126</v>
      </c>
      <c r="H1928" s="795">
        <f t="shared" si="123"/>
        <v>171465.38922546126</v>
      </c>
      <c r="I1928" s="792">
        <f t="shared" si="124"/>
        <v>0</v>
      </c>
      <c r="J1928" s="792"/>
      <c r="K1928" s="812"/>
      <c r="L1928" s="796"/>
      <c r="M1928" s="812"/>
      <c r="N1928" s="796"/>
      <c r="O1928" s="796"/>
    </row>
    <row r="1929" spans="3:15">
      <c r="C1929" s="788">
        <f>IF(D1895="","-",+C1928+1)</f>
        <v>2045</v>
      </c>
      <c r="D1929" s="736">
        <f t="shared" si="120"/>
        <v>615596.57142857253</v>
      </c>
      <c r="E1929" s="789">
        <f t="shared" si="125"/>
        <v>76949.571428571435</v>
      </c>
      <c r="F1929" s="736">
        <f t="shared" si="121"/>
        <v>538647.00000000105</v>
      </c>
      <c r="G1929" s="790">
        <f t="shared" si="122"/>
        <v>160345.88124935661</v>
      </c>
      <c r="H1929" s="795">
        <f t="shared" si="123"/>
        <v>160345.88124935661</v>
      </c>
      <c r="I1929" s="792">
        <f t="shared" si="124"/>
        <v>0</v>
      </c>
      <c r="J1929" s="792"/>
      <c r="K1929" s="812"/>
      <c r="L1929" s="796"/>
      <c r="M1929" s="812"/>
      <c r="N1929" s="796"/>
      <c r="O1929" s="796"/>
    </row>
    <row r="1930" spans="3:15">
      <c r="C1930" s="788">
        <f>IF(D1895="","-",+C1929+1)</f>
        <v>2046</v>
      </c>
      <c r="D1930" s="736">
        <f t="shared" si="120"/>
        <v>538647.00000000105</v>
      </c>
      <c r="E1930" s="789">
        <f t="shared" si="125"/>
        <v>76949.571428571435</v>
      </c>
      <c r="F1930" s="736">
        <f t="shared" si="121"/>
        <v>461697.42857142963</v>
      </c>
      <c r="G1930" s="794">
        <f t="shared" si="122"/>
        <v>149226.37327325193</v>
      </c>
      <c r="H1930" s="795">
        <f t="shared" si="123"/>
        <v>149226.37327325193</v>
      </c>
      <c r="I1930" s="792">
        <f t="shared" si="124"/>
        <v>0</v>
      </c>
      <c r="J1930" s="792"/>
      <c r="K1930" s="812"/>
      <c r="L1930" s="796"/>
      <c r="M1930" s="812"/>
      <c r="N1930" s="796"/>
      <c r="O1930" s="796"/>
    </row>
    <row r="1931" spans="3:15">
      <c r="C1931" s="788">
        <f>IF(D1895="","-",+C1930+1)</f>
        <v>2047</v>
      </c>
      <c r="D1931" s="736">
        <f t="shared" si="120"/>
        <v>461697.42857142963</v>
      </c>
      <c r="E1931" s="789">
        <f t="shared" si="125"/>
        <v>76949.571428571435</v>
      </c>
      <c r="F1931" s="736">
        <f t="shared" si="121"/>
        <v>384747.85714285821</v>
      </c>
      <c r="G1931" s="794">
        <f t="shared" si="122"/>
        <v>138106.86529714725</v>
      </c>
      <c r="H1931" s="795">
        <f t="shared" si="123"/>
        <v>138106.86529714725</v>
      </c>
      <c r="I1931" s="792">
        <f t="shared" si="124"/>
        <v>0</v>
      </c>
      <c r="J1931" s="792"/>
      <c r="K1931" s="812"/>
      <c r="L1931" s="796"/>
      <c r="M1931" s="812"/>
      <c r="N1931" s="796"/>
      <c r="O1931" s="796"/>
    </row>
    <row r="1932" spans="3:15">
      <c r="C1932" s="788">
        <f>IF(D1895="","-",+C1931+1)</f>
        <v>2048</v>
      </c>
      <c r="D1932" s="736">
        <f t="shared" si="120"/>
        <v>384747.85714285821</v>
      </c>
      <c r="E1932" s="789">
        <f t="shared" si="125"/>
        <v>76949.571428571435</v>
      </c>
      <c r="F1932" s="736">
        <f t="shared" si="121"/>
        <v>307798.28571428679</v>
      </c>
      <c r="G1932" s="794">
        <f t="shared" si="122"/>
        <v>126987.3573210426</v>
      </c>
      <c r="H1932" s="795">
        <f t="shared" si="123"/>
        <v>126987.3573210426</v>
      </c>
      <c r="I1932" s="792">
        <f t="shared" si="124"/>
        <v>0</v>
      </c>
      <c r="J1932" s="792"/>
      <c r="K1932" s="812"/>
      <c r="L1932" s="796"/>
      <c r="M1932" s="812"/>
      <c r="N1932" s="796"/>
      <c r="O1932" s="796"/>
    </row>
    <row r="1933" spans="3:15">
      <c r="C1933" s="788">
        <f>IF(D1895="","-",+C1932+1)</f>
        <v>2049</v>
      </c>
      <c r="D1933" s="736">
        <f t="shared" si="120"/>
        <v>307798.28571428679</v>
      </c>
      <c r="E1933" s="789">
        <f t="shared" si="125"/>
        <v>76949.571428571435</v>
      </c>
      <c r="F1933" s="736">
        <f t="shared" si="121"/>
        <v>230848.71428571537</v>
      </c>
      <c r="G1933" s="794">
        <f t="shared" si="122"/>
        <v>115867.84934493792</v>
      </c>
      <c r="H1933" s="795">
        <f t="shared" si="123"/>
        <v>115867.84934493792</v>
      </c>
      <c r="I1933" s="792">
        <f t="shared" si="124"/>
        <v>0</v>
      </c>
      <c r="J1933" s="792"/>
      <c r="K1933" s="812"/>
      <c r="L1933" s="796"/>
      <c r="M1933" s="812"/>
      <c r="N1933" s="796"/>
      <c r="O1933" s="796"/>
    </row>
    <row r="1934" spans="3:15">
      <c r="C1934" s="788">
        <f>IF(D1895="","-",+C1933+1)</f>
        <v>2050</v>
      </c>
      <c r="D1934" s="736">
        <f t="shared" si="120"/>
        <v>230848.71428571537</v>
      </c>
      <c r="E1934" s="789">
        <f t="shared" si="125"/>
        <v>76949.571428571435</v>
      </c>
      <c r="F1934" s="736">
        <f t="shared" si="121"/>
        <v>153899.14285714395</v>
      </c>
      <c r="G1934" s="794">
        <f t="shared" si="122"/>
        <v>104748.34136883327</v>
      </c>
      <c r="H1934" s="795">
        <f t="shared" si="123"/>
        <v>104748.34136883327</v>
      </c>
      <c r="I1934" s="792">
        <f t="shared" si="124"/>
        <v>0</v>
      </c>
      <c r="J1934" s="792"/>
      <c r="K1934" s="812"/>
      <c r="L1934" s="796"/>
      <c r="M1934" s="812"/>
      <c r="N1934" s="796"/>
      <c r="O1934" s="796"/>
    </row>
    <row r="1935" spans="3:15">
      <c r="C1935" s="788">
        <f>IF(D1895="","-",+C1934+1)</f>
        <v>2051</v>
      </c>
      <c r="D1935" s="736">
        <f t="shared" si="120"/>
        <v>153899.14285714395</v>
      </c>
      <c r="E1935" s="789">
        <f t="shared" si="125"/>
        <v>76949.571428571435</v>
      </c>
      <c r="F1935" s="736">
        <f t="shared" si="121"/>
        <v>76949.571428572512</v>
      </c>
      <c r="G1935" s="794">
        <f t="shared" si="122"/>
        <v>93628.833392728586</v>
      </c>
      <c r="H1935" s="795">
        <f t="shared" si="123"/>
        <v>93628.833392728586</v>
      </c>
      <c r="I1935" s="792">
        <f t="shared" si="124"/>
        <v>0</v>
      </c>
      <c r="J1935" s="792"/>
      <c r="K1935" s="812"/>
      <c r="L1935" s="796"/>
      <c r="M1935" s="812"/>
      <c r="N1935" s="796"/>
      <c r="O1935" s="796"/>
    </row>
    <row r="1936" spans="3:15">
      <c r="C1936" s="788">
        <f>IF(D1895="","-",+C1935+1)</f>
        <v>2052</v>
      </c>
      <c r="D1936" s="736">
        <f t="shared" si="120"/>
        <v>76949.571428572512</v>
      </c>
      <c r="E1936" s="789">
        <f t="shared" si="125"/>
        <v>76949.571428571435</v>
      </c>
      <c r="F1936" s="736">
        <f t="shared" si="121"/>
        <v>1.076841726899147E-9</v>
      </c>
      <c r="G1936" s="794">
        <f t="shared" si="122"/>
        <v>82509.32541662392</v>
      </c>
      <c r="H1936" s="795">
        <f t="shared" si="123"/>
        <v>82509.32541662392</v>
      </c>
      <c r="I1936" s="792">
        <f t="shared" si="124"/>
        <v>0</v>
      </c>
      <c r="J1936" s="792"/>
      <c r="K1936" s="812"/>
      <c r="L1936" s="796"/>
      <c r="M1936" s="812"/>
      <c r="N1936" s="796"/>
      <c r="O1936" s="796"/>
    </row>
    <row r="1937" spans="3:15">
      <c r="C1937" s="788">
        <f>IF(D1895="","-",+C1936+1)</f>
        <v>2053</v>
      </c>
      <c r="D1937" s="736">
        <f t="shared" si="120"/>
        <v>1.076841726899147E-9</v>
      </c>
      <c r="E1937" s="789">
        <f t="shared" si="125"/>
        <v>1.076841726899147E-9</v>
      </c>
      <c r="F1937" s="736">
        <f t="shared" si="121"/>
        <v>0</v>
      </c>
      <c r="G1937" s="794">
        <f t="shared" si="122"/>
        <v>1.1546456051336882E-9</v>
      </c>
      <c r="H1937" s="795">
        <f t="shared" si="123"/>
        <v>1.1546456051336882E-9</v>
      </c>
      <c r="I1937" s="792">
        <f t="shared" si="124"/>
        <v>0</v>
      </c>
      <c r="J1937" s="792"/>
      <c r="K1937" s="812"/>
      <c r="L1937" s="796"/>
      <c r="M1937" s="812"/>
      <c r="N1937" s="796"/>
      <c r="O1937" s="796"/>
    </row>
    <row r="1938" spans="3:15">
      <c r="C1938" s="788">
        <f>IF(D1895="","-",+C1937+1)</f>
        <v>2054</v>
      </c>
      <c r="D1938" s="736">
        <f t="shared" si="120"/>
        <v>0</v>
      </c>
      <c r="E1938" s="789">
        <f t="shared" si="125"/>
        <v>0</v>
      </c>
      <c r="F1938" s="736">
        <f t="shared" si="121"/>
        <v>0</v>
      </c>
      <c r="G1938" s="794">
        <f t="shared" si="122"/>
        <v>0</v>
      </c>
      <c r="H1938" s="795">
        <f t="shared" si="123"/>
        <v>0</v>
      </c>
      <c r="I1938" s="792">
        <f t="shared" si="124"/>
        <v>0</v>
      </c>
      <c r="J1938" s="792"/>
      <c r="K1938" s="812"/>
      <c r="L1938" s="796"/>
      <c r="M1938" s="812"/>
      <c r="N1938" s="796"/>
      <c r="O1938" s="796"/>
    </row>
    <row r="1939" spans="3:15">
      <c r="C1939" s="788">
        <f>IF(D1895="","-",+C1938+1)</f>
        <v>2055</v>
      </c>
      <c r="D1939" s="736">
        <f t="shared" si="120"/>
        <v>0</v>
      </c>
      <c r="E1939" s="789">
        <f t="shared" si="125"/>
        <v>0</v>
      </c>
      <c r="F1939" s="736">
        <f t="shared" si="121"/>
        <v>0</v>
      </c>
      <c r="G1939" s="794">
        <f t="shared" si="122"/>
        <v>0</v>
      </c>
      <c r="H1939" s="795">
        <f t="shared" si="123"/>
        <v>0</v>
      </c>
      <c r="I1939" s="792">
        <f t="shared" si="124"/>
        <v>0</v>
      </c>
      <c r="J1939" s="792"/>
      <c r="K1939" s="812"/>
      <c r="L1939" s="796"/>
      <c r="M1939" s="812"/>
      <c r="N1939" s="796"/>
      <c r="O1939" s="796"/>
    </row>
    <row r="1940" spans="3:15">
      <c r="C1940" s="788">
        <f>IF(D1895="","-",+C1939+1)</f>
        <v>2056</v>
      </c>
      <c r="D1940" s="736">
        <f t="shared" si="120"/>
        <v>0</v>
      </c>
      <c r="E1940" s="789">
        <f t="shared" si="125"/>
        <v>0</v>
      </c>
      <c r="F1940" s="736">
        <f t="shared" si="121"/>
        <v>0</v>
      </c>
      <c r="G1940" s="794">
        <f t="shared" si="122"/>
        <v>0</v>
      </c>
      <c r="H1940" s="795">
        <f t="shared" si="123"/>
        <v>0</v>
      </c>
      <c r="I1940" s="792">
        <f t="shared" si="124"/>
        <v>0</v>
      </c>
      <c r="J1940" s="792"/>
      <c r="K1940" s="812"/>
      <c r="L1940" s="796"/>
      <c r="M1940" s="812"/>
      <c r="N1940" s="796"/>
      <c r="O1940" s="796"/>
    </row>
    <row r="1941" spans="3:15">
      <c r="C1941" s="788">
        <f>IF(D1895="","-",+C1940+1)</f>
        <v>2057</v>
      </c>
      <c r="D1941" s="736">
        <f t="shared" si="120"/>
        <v>0</v>
      </c>
      <c r="E1941" s="789">
        <f t="shared" si="125"/>
        <v>0</v>
      </c>
      <c r="F1941" s="736">
        <f t="shared" si="121"/>
        <v>0</v>
      </c>
      <c r="G1941" s="794">
        <f t="shared" si="122"/>
        <v>0</v>
      </c>
      <c r="H1941" s="795">
        <f t="shared" si="123"/>
        <v>0</v>
      </c>
      <c r="I1941" s="792">
        <f t="shared" si="124"/>
        <v>0</v>
      </c>
      <c r="J1941" s="792"/>
      <c r="K1941" s="812"/>
      <c r="L1941" s="796"/>
      <c r="M1941" s="812"/>
      <c r="N1941" s="796"/>
      <c r="O1941" s="796"/>
    </row>
    <row r="1942" spans="3:15">
      <c r="C1942" s="788">
        <f>IF(D1895="","-",+C1941+1)</f>
        <v>2058</v>
      </c>
      <c r="D1942" s="736">
        <f t="shared" si="120"/>
        <v>0</v>
      </c>
      <c r="E1942" s="789">
        <f t="shared" si="125"/>
        <v>0</v>
      </c>
      <c r="F1942" s="736">
        <f t="shared" si="121"/>
        <v>0</v>
      </c>
      <c r="G1942" s="794">
        <f t="shared" si="122"/>
        <v>0</v>
      </c>
      <c r="H1942" s="795">
        <f t="shared" si="123"/>
        <v>0</v>
      </c>
      <c r="I1942" s="792">
        <f t="shared" si="124"/>
        <v>0</v>
      </c>
      <c r="J1942" s="792"/>
      <c r="K1942" s="812"/>
      <c r="L1942" s="796"/>
      <c r="M1942" s="812"/>
      <c r="N1942" s="796"/>
      <c r="O1942" s="796"/>
    </row>
    <row r="1943" spans="3:15">
      <c r="C1943" s="788">
        <f>IF(D1895="","-",+C1942+1)</f>
        <v>2059</v>
      </c>
      <c r="D1943" s="736">
        <f t="shared" si="120"/>
        <v>0</v>
      </c>
      <c r="E1943" s="789">
        <f t="shared" si="125"/>
        <v>0</v>
      </c>
      <c r="F1943" s="736">
        <f t="shared" si="121"/>
        <v>0</v>
      </c>
      <c r="G1943" s="794">
        <f t="shared" si="122"/>
        <v>0</v>
      </c>
      <c r="H1943" s="795">
        <f t="shared" si="123"/>
        <v>0</v>
      </c>
      <c r="I1943" s="792">
        <f t="shared" si="124"/>
        <v>0</v>
      </c>
      <c r="J1943" s="792"/>
      <c r="K1943" s="812"/>
      <c r="L1943" s="796"/>
      <c r="M1943" s="812"/>
      <c r="N1943" s="796"/>
      <c r="O1943" s="796"/>
    </row>
    <row r="1944" spans="3:15">
      <c r="C1944" s="788">
        <f>IF(D1895="","-",+C1943+1)</f>
        <v>2060</v>
      </c>
      <c r="D1944" s="736">
        <f t="shared" si="120"/>
        <v>0</v>
      </c>
      <c r="E1944" s="789">
        <f t="shared" si="125"/>
        <v>0</v>
      </c>
      <c r="F1944" s="736">
        <f t="shared" si="121"/>
        <v>0</v>
      </c>
      <c r="G1944" s="794">
        <f t="shared" si="122"/>
        <v>0</v>
      </c>
      <c r="H1944" s="795">
        <f t="shared" si="123"/>
        <v>0</v>
      </c>
      <c r="I1944" s="792">
        <f t="shared" si="124"/>
        <v>0</v>
      </c>
      <c r="J1944" s="792"/>
      <c r="K1944" s="812"/>
      <c r="L1944" s="796"/>
      <c r="M1944" s="812"/>
      <c r="N1944" s="796"/>
      <c r="O1944" s="796"/>
    </row>
    <row r="1945" spans="3:15">
      <c r="C1945" s="788">
        <f>IF(D1895="","-",+C1944+1)</f>
        <v>2061</v>
      </c>
      <c r="D1945" s="736">
        <f t="shared" si="120"/>
        <v>0</v>
      </c>
      <c r="E1945" s="789">
        <f t="shared" si="125"/>
        <v>0</v>
      </c>
      <c r="F1945" s="736">
        <f t="shared" si="121"/>
        <v>0</v>
      </c>
      <c r="G1945" s="794">
        <f t="shared" si="122"/>
        <v>0</v>
      </c>
      <c r="H1945" s="795">
        <f t="shared" si="123"/>
        <v>0</v>
      </c>
      <c r="I1945" s="792">
        <f t="shared" si="124"/>
        <v>0</v>
      </c>
      <c r="J1945" s="792"/>
      <c r="K1945" s="812"/>
      <c r="L1945" s="796"/>
      <c r="M1945" s="812"/>
      <c r="N1945" s="796"/>
      <c r="O1945" s="796"/>
    </row>
    <row r="1946" spans="3:15">
      <c r="C1946" s="788">
        <f>IF(D1895="","-",+C1945+1)</f>
        <v>2062</v>
      </c>
      <c r="D1946" s="736">
        <f t="shared" si="120"/>
        <v>0</v>
      </c>
      <c r="E1946" s="789">
        <f t="shared" si="125"/>
        <v>0</v>
      </c>
      <c r="F1946" s="736">
        <f t="shared" si="121"/>
        <v>0</v>
      </c>
      <c r="G1946" s="794">
        <f t="shared" si="122"/>
        <v>0</v>
      </c>
      <c r="H1946" s="795">
        <f t="shared" si="123"/>
        <v>0</v>
      </c>
      <c r="I1946" s="792">
        <f t="shared" si="124"/>
        <v>0</v>
      </c>
      <c r="J1946" s="792"/>
      <c r="K1946" s="812"/>
      <c r="L1946" s="796"/>
      <c r="M1946" s="812"/>
      <c r="N1946" s="796"/>
      <c r="O1946" s="796"/>
    </row>
    <row r="1947" spans="3:15">
      <c r="C1947" s="788">
        <f>IF(D1895="","-",+C1946+1)</f>
        <v>2063</v>
      </c>
      <c r="D1947" s="736">
        <f t="shared" si="120"/>
        <v>0</v>
      </c>
      <c r="E1947" s="789">
        <f t="shared" si="125"/>
        <v>0</v>
      </c>
      <c r="F1947" s="736">
        <f t="shared" si="121"/>
        <v>0</v>
      </c>
      <c r="G1947" s="794">
        <f t="shared" si="122"/>
        <v>0</v>
      </c>
      <c r="H1947" s="795">
        <f t="shared" si="123"/>
        <v>0</v>
      </c>
      <c r="I1947" s="792">
        <f t="shared" si="124"/>
        <v>0</v>
      </c>
      <c r="J1947" s="792"/>
      <c r="K1947" s="812"/>
      <c r="L1947" s="796"/>
      <c r="M1947" s="812"/>
      <c r="N1947" s="796"/>
      <c r="O1947" s="796"/>
    </row>
    <row r="1948" spans="3:15">
      <c r="C1948" s="788">
        <f>IF(D1895="","-",+C1947+1)</f>
        <v>2064</v>
      </c>
      <c r="D1948" s="736">
        <f t="shared" si="120"/>
        <v>0</v>
      </c>
      <c r="E1948" s="789">
        <f t="shared" si="125"/>
        <v>0</v>
      </c>
      <c r="F1948" s="736">
        <f t="shared" si="121"/>
        <v>0</v>
      </c>
      <c r="G1948" s="794">
        <f t="shared" si="122"/>
        <v>0</v>
      </c>
      <c r="H1948" s="795">
        <f t="shared" si="123"/>
        <v>0</v>
      </c>
      <c r="I1948" s="792">
        <f t="shared" si="124"/>
        <v>0</v>
      </c>
      <c r="J1948" s="792"/>
      <c r="K1948" s="812"/>
      <c r="L1948" s="796"/>
      <c r="M1948" s="812"/>
      <c r="N1948" s="796"/>
      <c r="O1948" s="796"/>
    </row>
    <row r="1949" spans="3:15">
      <c r="C1949" s="788">
        <f>IF(D1895="","-",+C1948+1)</f>
        <v>2065</v>
      </c>
      <c r="D1949" s="736">
        <f t="shared" si="120"/>
        <v>0</v>
      </c>
      <c r="E1949" s="789">
        <f t="shared" si="125"/>
        <v>0</v>
      </c>
      <c r="F1949" s="736">
        <f t="shared" si="121"/>
        <v>0</v>
      </c>
      <c r="G1949" s="794">
        <f t="shared" si="122"/>
        <v>0</v>
      </c>
      <c r="H1949" s="795">
        <f t="shared" si="123"/>
        <v>0</v>
      </c>
      <c r="I1949" s="792">
        <f t="shared" si="124"/>
        <v>0</v>
      </c>
      <c r="J1949" s="792"/>
      <c r="K1949" s="812"/>
      <c r="L1949" s="796"/>
      <c r="M1949" s="812"/>
      <c r="N1949" s="796"/>
      <c r="O1949" s="796"/>
    </row>
    <row r="1950" spans="3:15">
      <c r="C1950" s="788">
        <f>IF(D1895="","-",+C1949+1)</f>
        <v>2066</v>
      </c>
      <c r="D1950" s="736">
        <f t="shared" si="120"/>
        <v>0</v>
      </c>
      <c r="E1950" s="789">
        <f t="shared" si="125"/>
        <v>0</v>
      </c>
      <c r="F1950" s="736">
        <f t="shared" si="121"/>
        <v>0</v>
      </c>
      <c r="G1950" s="794">
        <f t="shared" si="122"/>
        <v>0</v>
      </c>
      <c r="H1950" s="795">
        <f t="shared" si="123"/>
        <v>0</v>
      </c>
      <c r="I1950" s="792">
        <f t="shared" si="124"/>
        <v>0</v>
      </c>
      <c r="J1950" s="792"/>
      <c r="K1950" s="812"/>
      <c r="L1950" s="796"/>
      <c r="M1950" s="812"/>
      <c r="N1950" s="796"/>
      <c r="O1950" s="796"/>
    </row>
    <row r="1951" spans="3:15">
      <c r="C1951" s="788">
        <f>IF(D1895="","-",+C1950+1)</f>
        <v>2067</v>
      </c>
      <c r="D1951" s="736">
        <f t="shared" si="120"/>
        <v>0</v>
      </c>
      <c r="E1951" s="789">
        <f t="shared" si="125"/>
        <v>0</v>
      </c>
      <c r="F1951" s="736">
        <f t="shared" si="121"/>
        <v>0</v>
      </c>
      <c r="G1951" s="794">
        <f t="shared" si="122"/>
        <v>0</v>
      </c>
      <c r="H1951" s="795">
        <f t="shared" si="123"/>
        <v>0</v>
      </c>
      <c r="I1951" s="792">
        <f t="shared" si="124"/>
        <v>0</v>
      </c>
      <c r="J1951" s="792"/>
      <c r="K1951" s="812"/>
      <c r="L1951" s="796"/>
      <c r="M1951" s="812"/>
      <c r="N1951" s="796"/>
      <c r="O1951" s="796"/>
    </row>
    <row r="1952" spans="3:15">
      <c r="C1952" s="788">
        <f>IF(D1895="","-",+C1951+1)</f>
        <v>2068</v>
      </c>
      <c r="D1952" s="736">
        <f t="shared" si="120"/>
        <v>0</v>
      </c>
      <c r="E1952" s="789">
        <f t="shared" si="125"/>
        <v>0</v>
      </c>
      <c r="F1952" s="736">
        <f t="shared" si="121"/>
        <v>0</v>
      </c>
      <c r="G1952" s="794">
        <f t="shared" si="122"/>
        <v>0</v>
      </c>
      <c r="H1952" s="795">
        <f t="shared" si="123"/>
        <v>0</v>
      </c>
      <c r="I1952" s="792">
        <f t="shared" si="124"/>
        <v>0</v>
      </c>
      <c r="J1952" s="792"/>
      <c r="K1952" s="812"/>
      <c r="L1952" s="796"/>
      <c r="M1952" s="812"/>
      <c r="N1952" s="796"/>
      <c r="O1952" s="796"/>
    </row>
    <row r="1953" spans="3:15">
      <c r="C1953" s="788">
        <f>IF(D1895="","-",+C1952+1)</f>
        <v>2069</v>
      </c>
      <c r="D1953" s="736">
        <f t="shared" si="120"/>
        <v>0</v>
      </c>
      <c r="E1953" s="789">
        <f t="shared" si="125"/>
        <v>0</v>
      </c>
      <c r="F1953" s="736">
        <f t="shared" si="121"/>
        <v>0</v>
      </c>
      <c r="G1953" s="794">
        <f t="shared" si="122"/>
        <v>0</v>
      </c>
      <c r="H1953" s="795">
        <f t="shared" si="123"/>
        <v>0</v>
      </c>
      <c r="I1953" s="792">
        <f t="shared" si="124"/>
        <v>0</v>
      </c>
      <c r="J1953" s="792"/>
      <c r="K1953" s="812"/>
      <c r="L1953" s="796"/>
      <c r="M1953" s="812"/>
      <c r="N1953" s="796"/>
      <c r="O1953" s="796"/>
    </row>
    <row r="1954" spans="3:15">
      <c r="C1954" s="788">
        <f>IF(D1895="","-",+C1953+1)</f>
        <v>2070</v>
      </c>
      <c r="D1954" s="736">
        <f t="shared" si="120"/>
        <v>0</v>
      </c>
      <c r="E1954" s="789">
        <f t="shared" si="125"/>
        <v>0</v>
      </c>
      <c r="F1954" s="736">
        <f t="shared" si="121"/>
        <v>0</v>
      </c>
      <c r="G1954" s="794">
        <f t="shared" si="122"/>
        <v>0</v>
      </c>
      <c r="H1954" s="795">
        <f t="shared" si="123"/>
        <v>0</v>
      </c>
      <c r="I1954" s="792">
        <f t="shared" si="124"/>
        <v>0</v>
      </c>
      <c r="J1954" s="792"/>
      <c r="K1954" s="812"/>
      <c r="L1954" s="796"/>
      <c r="M1954" s="812"/>
      <c r="N1954" s="796"/>
      <c r="O1954" s="796"/>
    </row>
    <row r="1955" spans="3:15">
      <c r="C1955" s="788">
        <f>IF(D1895="","-",+C1954+1)</f>
        <v>2071</v>
      </c>
      <c r="D1955" s="736">
        <f t="shared" si="120"/>
        <v>0</v>
      </c>
      <c r="E1955" s="789">
        <f t="shared" si="125"/>
        <v>0</v>
      </c>
      <c r="F1955" s="736">
        <f t="shared" si="121"/>
        <v>0</v>
      </c>
      <c r="G1955" s="794">
        <f t="shared" si="122"/>
        <v>0</v>
      </c>
      <c r="H1955" s="795">
        <f t="shared" si="123"/>
        <v>0</v>
      </c>
      <c r="I1955" s="792">
        <f t="shared" si="124"/>
        <v>0</v>
      </c>
      <c r="J1955" s="792"/>
      <c r="K1955" s="812"/>
      <c r="L1955" s="796"/>
      <c r="M1955" s="812"/>
      <c r="N1955" s="796"/>
      <c r="O1955" s="796"/>
    </row>
    <row r="1956" spans="3:15">
      <c r="C1956" s="788">
        <f>IF(D1895="","-",+C1955+1)</f>
        <v>2072</v>
      </c>
      <c r="D1956" s="736">
        <f t="shared" si="120"/>
        <v>0</v>
      </c>
      <c r="E1956" s="789">
        <f t="shared" si="125"/>
        <v>0</v>
      </c>
      <c r="F1956" s="736">
        <f t="shared" si="121"/>
        <v>0</v>
      </c>
      <c r="G1956" s="794">
        <f t="shared" si="122"/>
        <v>0</v>
      </c>
      <c r="H1956" s="795">
        <f t="shared" si="123"/>
        <v>0</v>
      </c>
      <c r="I1956" s="792">
        <f t="shared" si="124"/>
        <v>0</v>
      </c>
      <c r="J1956" s="792"/>
      <c r="K1956" s="812"/>
      <c r="L1956" s="796"/>
      <c r="M1956" s="812"/>
      <c r="N1956" s="796"/>
      <c r="O1956" s="796"/>
    </row>
    <row r="1957" spans="3:15">
      <c r="C1957" s="788">
        <f>IF(D1895="","-",+C1956+1)</f>
        <v>2073</v>
      </c>
      <c r="D1957" s="736">
        <f t="shared" si="120"/>
        <v>0</v>
      </c>
      <c r="E1957" s="789">
        <f t="shared" si="125"/>
        <v>0</v>
      </c>
      <c r="F1957" s="736">
        <f t="shared" si="121"/>
        <v>0</v>
      </c>
      <c r="G1957" s="794">
        <f t="shared" si="122"/>
        <v>0</v>
      </c>
      <c r="H1957" s="795">
        <f t="shared" si="123"/>
        <v>0</v>
      </c>
      <c r="I1957" s="792">
        <f t="shared" si="124"/>
        <v>0</v>
      </c>
      <c r="J1957" s="792"/>
      <c r="K1957" s="812"/>
      <c r="L1957" s="796"/>
      <c r="M1957" s="812"/>
      <c r="N1957" s="796"/>
      <c r="O1957" s="796"/>
    </row>
    <row r="1958" spans="3:15">
      <c r="C1958" s="788">
        <f>IF(D1895="","-",+C1957+1)</f>
        <v>2074</v>
      </c>
      <c r="D1958" s="736">
        <f t="shared" si="120"/>
        <v>0</v>
      </c>
      <c r="E1958" s="789">
        <f t="shared" si="125"/>
        <v>0</v>
      </c>
      <c r="F1958" s="736">
        <f t="shared" si="121"/>
        <v>0</v>
      </c>
      <c r="G1958" s="794">
        <f t="shared" si="122"/>
        <v>0</v>
      </c>
      <c r="H1958" s="795">
        <f t="shared" si="123"/>
        <v>0</v>
      </c>
      <c r="I1958" s="792">
        <f t="shared" si="124"/>
        <v>0</v>
      </c>
      <c r="J1958" s="792"/>
      <c r="K1958" s="812"/>
      <c r="L1958" s="796"/>
      <c r="M1958" s="812"/>
      <c r="N1958" s="796"/>
      <c r="O1958" s="796"/>
    </row>
    <row r="1959" spans="3:15">
      <c r="C1959" s="788">
        <f>IF(D1895="","-",+C1958+1)</f>
        <v>2075</v>
      </c>
      <c r="D1959" s="736">
        <f t="shared" si="120"/>
        <v>0</v>
      </c>
      <c r="E1959" s="789">
        <f t="shared" si="125"/>
        <v>0</v>
      </c>
      <c r="F1959" s="736">
        <f t="shared" si="121"/>
        <v>0</v>
      </c>
      <c r="G1959" s="794">
        <f t="shared" si="122"/>
        <v>0</v>
      </c>
      <c r="H1959" s="795">
        <f t="shared" si="123"/>
        <v>0</v>
      </c>
      <c r="I1959" s="792">
        <f t="shared" si="124"/>
        <v>0</v>
      </c>
      <c r="J1959" s="792"/>
      <c r="K1959" s="812"/>
      <c r="L1959" s="796"/>
      <c r="M1959" s="812"/>
      <c r="N1959" s="796"/>
      <c r="O1959" s="796"/>
    </row>
    <row r="1960" spans="3:15" ht="13.5" thickBot="1">
      <c r="C1960" s="798">
        <f>IF(D1895="","-",+C1959+1)</f>
        <v>2076</v>
      </c>
      <c r="D1960" s="799">
        <f t="shared" si="120"/>
        <v>0</v>
      </c>
      <c r="E1960" s="800">
        <f t="shared" si="125"/>
        <v>0</v>
      </c>
      <c r="F1960" s="799">
        <f t="shared" si="121"/>
        <v>0</v>
      </c>
      <c r="G1960" s="801">
        <f t="shared" si="122"/>
        <v>0</v>
      </c>
      <c r="H1960" s="801">
        <f t="shared" si="123"/>
        <v>0</v>
      </c>
      <c r="I1960" s="802">
        <f t="shared" si="124"/>
        <v>0</v>
      </c>
      <c r="J1960" s="792"/>
      <c r="K1960" s="813"/>
      <c r="L1960" s="803"/>
      <c r="M1960" s="813"/>
      <c r="N1960" s="803"/>
      <c r="O1960" s="803"/>
    </row>
    <row r="1961" spans="3:15">
      <c r="C1961" s="736" t="s">
        <v>83</v>
      </c>
      <c r="D1961" s="730"/>
      <c r="E1961" s="730">
        <f>SUM(E1901:E1960)</f>
        <v>2693235</v>
      </c>
      <c r="F1961" s="730"/>
      <c r="G1961" s="730">
        <f>SUM(G1901:G1960)</f>
        <v>9893116.4145277776</v>
      </c>
      <c r="H1961" s="730">
        <f>SUM(H1901:H1960)</f>
        <v>9893116.4145277776</v>
      </c>
      <c r="I1961" s="730">
        <f>SUM(I1901:I1960)</f>
        <v>0</v>
      </c>
      <c r="J1961" s="730"/>
      <c r="K1961" s="730"/>
      <c r="L1961" s="730"/>
      <c r="M1961" s="730"/>
      <c r="N1961" s="730"/>
      <c r="O1961" s="313"/>
    </row>
    <row r="1962" spans="3:15">
      <c r="D1962" s="538"/>
      <c r="E1962" s="313"/>
      <c r="F1962" s="313"/>
      <c r="G1962" s="313"/>
      <c r="H1962" s="708"/>
      <c r="I1962" s="708"/>
      <c r="J1962" s="730"/>
      <c r="K1962" s="708"/>
      <c r="L1962" s="708"/>
      <c r="M1962" s="708"/>
      <c r="N1962" s="708"/>
      <c r="O1962" s="313"/>
    </row>
    <row r="1963" spans="3:15">
      <c r="C1963" s="313" t="s">
        <v>13</v>
      </c>
      <c r="D1963" s="538"/>
      <c r="E1963" s="313"/>
      <c r="F1963" s="313"/>
      <c r="G1963" s="313"/>
      <c r="H1963" s="708"/>
      <c r="I1963" s="708"/>
      <c r="J1963" s="730"/>
      <c r="K1963" s="708"/>
      <c r="L1963" s="708"/>
      <c r="M1963" s="708"/>
      <c r="N1963" s="708"/>
      <c r="O1963" s="313"/>
    </row>
    <row r="1964" spans="3:15">
      <c r="C1964" s="313"/>
      <c r="D1964" s="538"/>
      <c r="E1964" s="313"/>
      <c r="F1964" s="313"/>
      <c r="G1964" s="313"/>
      <c r="H1964" s="708"/>
      <c r="I1964" s="708"/>
      <c r="J1964" s="730"/>
      <c r="K1964" s="708"/>
      <c r="L1964" s="708"/>
      <c r="M1964" s="708"/>
      <c r="N1964" s="708"/>
      <c r="O1964" s="313"/>
    </row>
    <row r="1965" spans="3:15">
      <c r="C1965" s="749" t="s">
        <v>14</v>
      </c>
      <c r="D1965" s="736"/>
      <c r="E1965" s="736"/>
      <c r="F1965" s="736"/>
      <c r="G1965" s="730"/>
      <c r="H1965" s="730"/>
      <c r="I1965" s="804"/>
      <c r="J1965" s="804"/>
      <c r="K1965" s="804"/>
      <c r="L1965" s="804"/>
      <c r="M1965" s="804"/>
      <c r="N1965" s="804"/>
      <c r="O1965" s="313"/>
    </row>
    <row r="1966" spans="3:15">
      <c r="C1966" s="735" t="s">
        <v>263</v>
      </c>
      <c r="D1966" s="736"/>
      <c r="E1966" s="736"/>
      <c r="F1966" s="736"/>
      <c r="G1966" s="730"/>
      <c r="H1966" s="730"/>
      <c r="I1966" s="804"/>
      <c r="J1966" s="804"/>
      <c r="K1966" s="804"/>
      <c r="L1966" s="804"/>
      <c r="M1966" s="804"/>
      <c r="N1966" s="804"/>
      <c r="O1966" s="313"/>
    </row>
    <row r="1967" spans="3:15">
      <c r="C1967" s="735" t="s">
        <v>84</v>
      </c>
      <c r="D1967" s="736"/>
      <c r="E1967" s="736"/>
      <c r="F1967" s="736"/>
      <c r="G1967" s="730"/>
      <c r="H1967" s="730"/>
      <c r="I1967" s="804"/>
      <c r="J1967" s="804"/>
      <c r="K1967" s="804"/>
      <c r="L1967" s="804"/>
      <c r="M1967" s="804"/>
      <c r="N1967" s="804"/>
      <c r="O1967" s="313"/>
    </row>
    <row r="1968" spans="3:15">
      <c r="C1968" s="735"/>
      <c r="D1968" s="736"/>
      <c r="E1968" s="736"/>
      <c r="F1968" s="736"/>
      <c r="G1968" s="730"/>
      <c r="H1968" s="730"/>
      <c r="I1968" s="804"/>
      <c r="J1968" s="804"/>
      <c r="K1968" s="804"/>
      <c r="L1968" s="804"/>
      <c r="M1968" s="804"/>
      <c r="N1968" s="804"/>
      <c r="O1968" s="313"/>
    </row>
    <row r="1969" spans="1:16">
      <c r="C1969" s="1547" t="s">
        <v>6</v>
      </c>
      <c r="D1969" s="1547"/>
      <c r="E1969" s="1547"/>
      <c r="F1969" s="1547"/>
      <c r="G1969" s="1547"/>
      <c r="H1969" s="1547"/>
      <c r="I1969" s="1547"/>
      <c r="J1969" s="1547"/>
      <c r="K1969" s="1547"/>
      <c r="L1969" s="1547"/>
      <c r="M1969" s="1547"/>
      <c r="N1969" s="1547"/>
      <c r="O1969" s="1547"/>
    </row>
    <row r="1970" spans="1:16">
      <c r="C1970" s="1547"/>
      <c r="D1970" s="1547"/>
      <c r="E1970" s="1547"/>
      <c r="F1970" s="1547"/>
      <c r="G1970" s="1547"/>
      <c r="H1970" s="1547"/>
      <c r="I1970" s="1547"/>
      <c r="J1970" s="1547"/>
      <c r="K1970" s="1547"/>
      <c r="L1970" s="1547"/>
      <c r="M1970" s="1547"/>
      <c r="N1970" s="1547"/>
      <c r="O1970" s="1547"/>
    </row>
    <row r="1971" spans="1:16" ht="20.25">
      <c r="A1971" s="737" t="str">
        <f>""&amp;A1895&amp;" Worksheet J -  ATRR PROJECTED Calculation for PJM Projects Charged to Benefiting Zones"</f>
        <v xml:space="preserve"> Worksheet J -  ATRR PROJECTED Calculation for PJM Projects Charged to Benefiting Zones</v>
      </c>
      <c r="B1971" s="347"/>
      <c r="C1971" s="725"/>
      <c r="D1971" s="538"/>
      <c r="E1971" s="313"/>
      <c r="F1971" s="707"/>
      <c r="G1971" s="313"/>
      <c r="H1971" s="708"/>
      <c r="K1971" s="564"/>
      <c r="L1971" s="564"/>
      <c r="M1971" s="564"/>
      <c r="N1971" s="653" t="str">
        <f>"Page "&amp;SUM(P$8:P1971)&amp;" of "</f>
        <v xml:space="preserve">Page 23 of </v>
      </c>
      <c r="O1971" s="654">
        <f>COUNT(P$8:P$56653)</f>
        <v>23</v>
      </c>
      <c r="P1971" s="172">
        <v>1</v>
      </c>
    </row>
    <row r="1972" spans="1:16">
      <c r="B1972" s="347"/>
      <c r="C1972" s="313"/>
      <c r="D1972" s="538"/>
      <c r="E1972" s="313"/>
      <c r="F1972" s="313"/>
      <c r="G1972" s="313"/>
      <c r="H1972" s="708"/>
      <c r="I1972" s="313"/>
      <c r="J1972" s="426"/>
      <c r="K1972" s="313"/>
      <c r="L1972" s="313"/>
      <c r="M1972" s="313"/>
      <c r="N1972" s="313"/>
      <c r="O1972" s="313"/>
    </row>
    <row r="1973" spans="1:16" ht="18">
      <c r="B1973" s="657" t="s">
        <v>466</v>
      </c>
      <c r="C1973" s="739" t="s">
        <v>85</v>
      </c>
      <c r="D1973" s="538"/>
      <c r="E1973" s="313"/>
      <c r="F1973" s="313"/>
      <c r="G1973" s="313"/>
      <c r="H1973" s="708"/>
      <c r="I1973" s="708"/>
      <c r="J1973" s="730"/>
      <c r="K1973" s="708"/>
      <c r="L1973" s="708"/>
      <c r="M1973" s="708"/>
      <c r="N1973" s="708"/>
      <c r="O1973" s="313"/>
    </row>
    <row r="1974" spans="1:16" ht="18.75">
      <c r="B1974" s="657"/>
      <c r="C1974" s="656"/>
      <c r="D1974" s="538"/>
      <c r="E1974" s="313"/>
      <c r="F1974" s="313"/>
      <c r="G1974" s="313"/>
      <c r="H1974" s="708"/>
      <c r="I1974" s="708"/>
      <c r="J1974" s="730"/>
      <c r="K1974" s="708"/>
      <c r="L1974" s="708"/>
      <c r="M1974" s="708"/>
      <c r="N1974" s="708"/>
      <c r="O1974" s="313"/>
    </row>
    <row r="1975" spans="1:16" ht="18.75">
      <c r="B1975" s="657"/>
      <c r="C1975" s="656" t="s">
        <v>86</v>
      </c>
      <c r="D1975" s="538"/>
      <c r="E1975" s="313"/>
      <c r="F1975" s="313"/>
      <c r="G1975" s="313"/>
      <c r="H1975" s="708"/>
      <c r="I1975" s="708"/>
      <c r="J1975" s="730"/>
      <c r="K1975" s="708"/>
      <c r="L1975" s="708"/>
      <c r="M1975" s="708"/>
      <c r="N1975" s="708"/>
      <c r="O1975" s="313"/>
    </row>
    <row r="1976" spans="1:16" ht="15.75" thickBot="1">
      <c r="C1976" s="239"/>
      <c r="D1976" s="538"/>
      <c r="E1976" s="313"/>
      <c r="F1976" s="313"/>
      <c r="G1976" s="313"/>
      <c r="H1976" s="708"/>
      <c r="I1976" s="708"/>
      <c r="J1976" s="730"/>
      <c r="K1976" s="708"/>
      <c r="L1976" s="708"/>
      <c r="M1976" s="708"/>
      <c r="N1976" s="708"/>
      <c r="O1976" s="313"/>
    </row>
    <row r="1977" spans="1:16" ht="15.75">
      <c r="C1977" s="659" t="s">
        <v>87</v>
      </c>
      <c r="D1977" s="538"/>
      <c r="E1977" s="313"/>
      <c r="F1977" s="313"/>
      <c r="G1977" s="806"/>
      <c r="H1977" s="313" t="s">
        <v>66</v>
      </c>
      <c r="I1977" s="313"/>
      <c r="J1977" s="426"/>
      <c r="K1977" s="740" t="s">
        <v>91</v>
      </c>
      <c r="L1977" s="741"/>
      <c r="M1977" s="742"/>
      <c r="N1977" s="743">
        <f>IF(I1983=0,0,VLOOKUP(I1983,C1990:O2049,5))</f>
        <v>348952.30197963386</v>
      </c>
      <c r="O1977" s="313"/>
    </row>
    <row r="1978" spans="1:16" ht="15.75">
      <c r="C1978" s="659"/>
      <c r="D1978" s="538"/>
      <c r="E1978" s="313"/>
      <c r="F1978" s="313"/>
      <c r="G1978" s="313"/>
      <c r="H1978" s="744"/>
      <c r="I1978" s="744"/>
      <c r="J1978" s="745"/>
      <c r="K1978" s="746" t="s">
        <v>92</v>
      </c>
      <c r="L1978" s="747"/>
      <c r="M1978" s="426"/>
      <c r="N1978" s="748">
        <f>IF(I1983=0,0,VLOOKUP(I1983,C1990:O2049,6))</f>
        <v>348952.30197963386</v>
      </c>
      <c r="O1978" s="313"/>
    </row>
    <row r="1979" spans="1:16" ht="13.5" thickBot="1">
      <c r="C1979" s="749" t="s">
        <v>88</v>
      </c>
      <c r="D1979" s="1537" t="s">
        <v>838</v>
      </c>
      <c r="E1979" s="1537"/>
      <c r="F1979" s="1537"/>
      <c r="G1979" s="1537"/>
      <c r="H1979" s="1537"/>
      <c r="I1979" s="1537"/>
      <c r="J1979" s="730"/>
      <c r="K1979" s="750" t="s">
        <v>230</v>
      </c>
      <c r="L1979" s="751"/>
      <c r="M1979" s="751"/>
      <c r="N1979" s="752">
        <f>+N1978-N1977</f>
        <v>0</v>
      </c>
      <c r="O1979" s="313"/>
    </row>
    <row r="1980" spans="1:16">
      <c r="C1980" s="753"/>
      <c r="D1980" s="754"/>
      <c r="E1980" s="734"/>
      <c r="F1980" s="734"/>
      <c r="G1980" s="755"/>
      <c r="H1980" s="708"/>
      <c r="I1980" s="708"/>
      <c r="J1980" s="730"/>
      <c r="K1980" s="708"/>
      <c r="L1980" s="708"/>
      <c r="M1980" s="708"/>
      <c r="N1980" s="708"/>
      <c r="O1980" s="313"/>
    </row>
    <row r="1981" spans="1:16" ht="13.5" thickBot="1">
      <c r="C1981" s="756"/>
      <c r="D1981" s="757"/>
      <c r="E1981" s="755"/>
      <c r="F1981" s="755"/>
      <c r="G1981" s="755"/>
      <c r="H1981" s="755"/>
      <c r="I1981" s="755"/>
      <c r="J1981" s="758"/>
      <c r="K1981" s="755"/>
      <c r="L1981" s="755"/>
      <c r="M1981" s="755"/>
      <c r="N1981" s="755"/>
      <c r="O1981" s="347"/>
    </row>
    <row r="1982" spans="1:16" ht="13.5" thickBot="1">
      <c r="C1982" s="759" t="s">
        <v>89</v>
      </c>
      <c r="D1982" s="760"/>
      <c r="E1982" s="760"/>
      <c r="F1982" s="760"/>
      <c r="G1982" s="760"/>
      <c r="H1982" s="760"/>
      <c r="I1982" s="761"/>
      <c r="J1982" s="762"/>
      <c r="K1982" s="313"/>
      <c r="L1982" s="313"/>
      <c r="M1982" s="313"/>
      <c r="N1982" s="313"/>
      <c r="O1982" s="763"/>
    </row>
    <row r="1983" spans="1:16" ht="15">
      <c r="C1983" s="764" t="s">
        <v>67</v>
      </c>
      <c r="D1983" s="808">
        <v>2228865</v>
      </c>
      <c r="E1983" s="725" t="s">
        <v>68</v>
      </c>
      <c r="G1983" s="765"/>
      <c r="H1983" s="765"/>
      <c r="I1983" s="766">
        <f>$L$26</f>
        <v>2023</v>
      </c>
      <c r="J1983" s="554"/>
      <c r="K1983" s="1536" t="s">
        <v>239</v>
      </c>
      <c r="L1983" s="1536"/>
      <c r="M1983" s="1536"/>
      <c r="N1983" s="1536"/>
      <c r="O1983" s="1536"/>
    </row>
    <row r="1984" spans="1:16">
      <c r="C1984" s="764" t="s">
        <v>70</v>
      </c>
      <c r="D1984" s="1317">
        <v>2019</v>
      </c>
      <c r="E1984" s="764" t="s">
        <v>71</v>
      </c>
      <c r="F1984" s="765"/>
      <c r="H1984" s="172"/>
      <c r="I1984" s="810">
        <f>IF(G1977="",0,$F$17)</f>
        <v>0</v>
      </c>
      <c r="J1984" s="767"/>
      <c r="K1984" s="730" t="s">
        <v>239</v>
      </c>
    </row>
    <row r="1985" spans="2:15">
      <c r="C1985" s="764" t="s">
        <v>72</v>
      </c>
      <c r="D1985" s="808">
        <v>6</v>
      </c>
      <c r="E1985" s="764" t="s">
        <v>73</v>
      </c>
      <c r="F1985" s="765"/>
      <c r="H1985" s="172"/>
      <c r="I1985" s="768">
        <f>$G$70</f>
        <v>0.14450383244078713</v>
      </c>
      <c r="J1985" s="769"/>
      <c r="K1985" s="172" t="str">
        <f>"          INPUT PROJECTED ARR (WITH &amp; WITHOUT INCENTIVES) FROM EACH PRIOR YEAR"</f>
        <v xml:space="preserve">          INPUT PROJECTED ARR (WITH &amp; WITHOUT INCENTIVES) FROM EACH PRIOR YEAR</v>
      </c>
    </row>
    <row r="1986" spans="2:15">
      <c r="C1986" s="764" t="s">
        <v>74</v>
      </c>
      <c r="D1986" s="770">
        <f>$G$79</f>
        <v>35</v>
      </c>
      <c r="E1986" s="764" t="s">
        <v>75</v>
      </c>
      <c r="F1986" s="765"/>
      <c r="H1986" s="172"/>
      <c r="I1986" s="768">
        <f>IF(G1977="",I1985,$G$69)</f>
        <v>0.14450383244078713</v>
      </c>
      <c r="J1986" s="771"/>
      <c r="K1986" s="172" t="s">
        <v>152</v>
      </c>
    </row>
    <row r="1987" spans="2:15" ht="13.5" thickBot="1">
      <c r="C1987" s="764" t="s">
        <v>76</v>
      </c>
      <c r="D1987" s="807" t="s">
        <v>808</v>
      </c>
      <c r="E1987" s="772" t="s">
        <v>77</v>
      </c>
      <c r="F1987" s="773"/>
      <c r="G1987" s="774"/>
      <c r="H1987" s="774"/>
      <c r="I1987" s="752">
        <f>IF(D1983=0,0,D1983/D1986)</f>
        <v>63681.857142857145</v>
      </c>
      <c r="J1987" s="730"/>
      <c r="K1987" s="730" t="s">
        <v>158</v>
      </c>
      <c r="L1987" s="730"/>
      <c r="M1987" s="730"/>
      <c r="N1987" s="730"/>
      <c r="O1987" s="426"/>
    </row>
    <row r="1988" spans="2:15" ht="38.25">
      <c r="B1988" s="845"/>
      <c r="C1988" s="775" t="s">
        <v>67</v>
      </c>
      <c r="D1988" s="776" t="s">
        <v>78</v>
      </c>
      <c r="E1988" s="777" t="s">
        <v>79</v>
      </c>
      <c r="F1988" s="776" t="s">
        <v>80</v>
      </c>
      <c r="G1988" s="777" t="s">
        <v>151</v>
      </c>
      <c r="H1988" s="778" t="s">
        <v>151</v>
      </c>
      <c r="I1988" s="775" t="s">
        <v>90</v>
      </c>
      <c r="J1988" s="779"/>
      <c r="K1988" s="777" t="s">
        <v>160</v>
      </c>
      <c r="L1988" s="780"/>
      <c r="M1988" s="777" t="s">
        <v>160</v>
      </c>
      <c r="N1988" s="780"/>
      <c r="O1988" s="780"/>
    </row>
    <row r="1989" spans="2:15" ht="13.5" thickBot="1">
      <c r="C1989" s="781" t="s">
        <v>469</v>
      </c>
      <c r="D1989" s="782" t="s">
        <v>470</v>
      </c>
      <c r="E1989" s="781" t="s">
        <v>363</v>
      </c>
      <c r="F1989" s="782" t="s">
        <v>470</v>
      </c>
      <c r="G1989" s="783" t="s">
        <v>93</v>
      </c>
      <c r="H1989" s="784" t="s">
        <v>95</v>
      </c>
      <c r="I1989" s="785" t="s">
        <v>15</v>
      </c>
      <c r="J1989" s="786"/>
      <c r="K1989" s="783" t="s">
        <v>82</v>
      </c>
      <c r="L1989" s="787"/>
      <c r="M1989" s="783" t="s">
        <v>95</v>
      </c>
      <c r="N1989" s="787"/>
      <c r="O1989" s="787"/>
    </row>
    <row r="1990" spans="2:15">
      <c r="C1990" s="1290">
        <f>IF(D1984= "","-",D1984)</f>
        <v>2019</v>
      </c>
      <c r="D1990" s="736">
        <f>+D1983</f>
        <v>2228865</v>
      </c>
      <c r="E1990" s="789">
        <f>+I1987/12*(12-D1985)</f>
        <v>31840.928571428572</v>
      </c>
      <c r="F1990" s="736">
        <f>+D1990-E1990</f>
        <v>2197024.0714285714</v>
      </c>
      <c r="G1990" s="985">
        <f>+$I$96*((D1990+F1990)/2)+E1990</f>
        <v>351619.89496104117</v>
      </c>
      <c r="H1990" s="986">
        <f>$I$97*((D1990+F1990)/2)+E1990</f>
        <v>351619.89496104117</v>
      </c>
      <c r="I1990" s="792">
        <f>+H1990-G1990</f>
        <v>0</v>
      </c>
      <c r="J1990" s="792"/>
      <c r="K1990" s="811">
        <v>0</v>
      </c>
      <c r="L1990" s="793"/>
      <c r="M1990" s="811">
        <v>0</v>
      </c>
      <c r="N1990" s="793"/>
      <c r="O1990" s="793"/>
    </row>
    <row r="1991" spans="2:15">
      <c r="C1991" s="1312">
        <f>IF(D1984="","-",+C1990+1)</f>
        <v>2020</v>
      </c>
      <c r="D1991" s="736">
        <f t="shared" ref="D1991:D2049" si="126">F1990</f>
        <v>2197024.0714285714</v>
      </c>
      <c r="E1991" s="789">
        <f>IF(D1991&gt;$I$1987,$I$1987,D1991)</f>
        <v>63681.857142857145</v>
      </c>
      <c r="F1991" s="736">
        <f t="shared" ref="F1991:F2049" si="127">+D1991-E1991</f>
        <v>2133342.2142857141</v>
      </c>
      <c r="G1991" s="794">
        <f t="shared" ref="G1991:G2049" si="128">+$I$96*((D1991+F1991)/2)+E1991</f>
        <v>376559.11922190257</v>
      </c>
      <c r="H1991" s="795">
        <f t="shared" ref="H1991:H2049" si="129">$I$97*((D1991+F1991)/2)+E1991</f>
        <v>376559.11922190257</v>
      </c>
      <c r="I1991" s="792">
        <f t="shared" ref="I1991:I2049" si="130">+H1991-G1991</f>
        <v>0</v>
      </c>
      <c r="J1991" s="792"/>
      <c r="K1991" s="812">
        <v>0</v>
      </c>
      <c r="L1991" s="796"/>
      <c r="M1991" s="812">
        <v>0</v>
      </c>
      <c r="N1991" s="796"/>
      <c r="O1991" s="796"/>
    </row>
    <row r="1992" spans="2:15">
      <c r="C1992" s="1312">
        <f>IF(D1984="","-",+C1991+1)</f>
        <v>2021</v>
      </c>
      <c r="D1992" s="736">
        <f t="shared" si="126"/>
        <v>2133342.2142857141</v>
      </c>
      <c r="E1992" s="789">
        <f t="shared" ref="E1992:E2049" si="131">IF(D1992&gt;$I$1987,$I$1987,D1992)</f>
        <v>63681.857142857145</v>
      </c>
      <c r="F1992" s="736">
        <f t="shared" si="127"/>
        <v>2069660.357142857</v>
      </c>
      <c r="G1992" s="794">
        <f t="shared" si="128"/>
        <v>367356.84680781298</v>
      </c>
      <c r="H1992" s="795">
        <f t="shared" si="129"/>
        <v>367356.84680781298</v>
      </c>
      <c r="I1992" s="792">
        <f t="shared" si="130"/>
        <v>0</v>
      </c>
      <c r="J1992" s="792"/>
      <c r="K1992" s="812"/>
      <c r="L1992" s="796"/>
      <c r="M1992" s="812"/>
      <c r="N1992" s="796"/>
      <c r="O1992" s="796"/>
    </row>
    <row r="1993" spans="2:15">
      <c r="C1993" s="788">
        <f>IF(D1984="","-",+C1992+1)</f>
        <v>2022</v>
      </c>
      <c r="D1993" s="736">
        <f t="shared" si="126"/>
        <v>2069660.357142857</v>
      </c>
      <c r="E1993" s="789">
        <f t="shared" si="131"/>
        <v>63681.857142857145</v>
      </c>
      <c r="F1993" s="736">
        <f t="shared" si="127"/>
        <v>2005978.5</v>
      </c>
      <c r="G1993" s="794">
        <f t="shared" si="128"/>
        <v>358154.57439372345</v>
      </c>
      <c r="H1993" s="795">
        <f t="shared" si="129"/>
        <v>358154.57439372345</v>
      </c>
      <c r="I1993" s="792">
        <f t="shared" si="130"/>
        <v>0</v>
      </c>
      <c r="J1993" s="792"/>
      <c r="K1993" s="812"/>
      <c r="L1993" s="796"/>
      <c r="M1993" s="812"/>
      <c r="N1993" s="796"/>
      <c r="O1993" s="796"/>
    </row>
    <row r="1994" spans="2:15">
      <c r="C1994" s="788">
        <f>IF(D1984="","-",+C1993+1)</f>
        <v>2023</v>
      </c>
      <c r="D1994" s="736">
        <f t="shared" si="126"/>
        <v>2005978.5</v>
      </c>
      <c r="E1994" s="789">
        <f t="shared" si="131"/>
        <v>63681.857142857145</v>
      </c>
      <c r="F1994" s="736">
        <f t="shared" si="127"/>
        <v>1942296.642857143</v>
      </c>
      <c r="G1994" s="794">
        <f t="shared" si="128"/>
        <v>348952.30197963386</v>
      </c>
      <c r="H1994" s="795">
        <f t="shared" si="129"/>
        <v>348952.30197963386</v>
      </c>
      <c r="I1994" s="792">
        <f t="shared" si="130"/>
        <v>0</v>
      </c>
      <c r="J1994" s="792"/>
      <c r="K1994" s="812"/>
      <c r="L1994" s="796"/>
      <c r="M1994" s="812"/>
      <c r="N1994" s="796"/>
      <c r="O1994" s="796"/>
    </row>
    <row r="1995" spans="2:15">
      <c r="C1995" s="788">
        <f>IF(D1984="","-",+C1994+1)</f>
        <v>2024</v>
      </c>
      <c r="D1995" s="736">
        <f t="shared" si="126"/>
        <v>1942296.642857143</v>
      </c>
      <c r="E1995" s="789">
        <f t="shared" si="131"/>
        <v>63681.857142857145</v>
      </c>
      <c r="F1995" s="736">
        <f t="shared" si="127"/>
        <v>1878614.7857142859</v>
      </c>
      <c r="G1995" s="794">
        <f t="shared" si="128"/>
        <v>339750.02956554433</v>
      </c>
      <c r="H1995" s="795">
        <f t="shared" si="129"/>
        <v>339750.02956554433</v>
      </c>
      <c r="I1995" s="792">
        <f t="shared" si="130"/>
        <v>0</v>
      </c>
      <c r="J1995" s="792"/>
      <c r="K1995" s="812"/>
      <c r="L1995" s="796"/>
      <c r="M1995" s="812"/>
      <c r="N1995" s="796"/>
      <c r="O1995" s="796"/>
    </row>
    <row r="1996" spans="2:15">
      <c r="C1996" s="788">
        <f>IF(D1984="","-",+C1995+1)</f>
        <v>2025</v>
      </c>
      <c r="D1996" s="736">
        <f t="shared" si="126"/>
        <v>1878614.7857142859</v>
      </c>
      <c r="E1996" s="789">
        <f t="shared" si="131"/>
        <v>63681.857142857145</v>
      </c>
      <c r="F1996" s="736">
        <f t="shared" si="127"/>
        <v>1814932.9285714289</v>
      </c>
      <c r="G1996" s="794">
        <f t="shared" si="128"/>
        <v>330547.75715145475</v>
      </c>
      <c r="H1996" s="795">
        <f t="shared" si="129"/>
        <v>330547.75715145475</v>
      </c>
      <c r="I1996" s="792">
        <f t="shared" si="130"/>
        <v>0</v>
      </c>
      <c r="J1996" s="792"/>
      <c r="K1996" s="812"/>
      <c r="L1996" s="796"/>
      <c r="M1996" s="812"/>
      <c r="N1996" s="796"/>
      <c r="O1996" s="796"/>
    </row>
    <row r="1997" spans="2:15">
      <c r="C1997" s="788">
        <f>IF(D1984="","-",+C1996+1)</f>
        <v>2026</v>
      </c>
      <c r="D1997" s="736">
        <f t="shared" si="126"/>
        <v>1814932.9285714289</v>
      </c>
      <c r="E1997" s="789">
        <f t="shared" si="131"/>
        <v>63681.857142857145</v>
      </c>
      <c r="F1997" s="736">
        <f t="shared" si="127"/>
        <v>1751251.0714285718</v>
      </c>
      <c r="G1997" s="794">
        <f t="shared" si="128"/>
        <v>321345.48473736522</v>
      </c>
      <c r="H1997" s="795">
        <f t="shared" si="129"/>
        <v>321345.48473736522</v>
      </c>
      <c r="I1997" s="792">
        <f t="shared" si="130"/>
        <v>0</v>
      </c>
      <c r="J1997" s="792"/>
      <c r="K1997" s="812"/>
      <c r="L1997" s="796"/>
      <c r="M1997" s="812"/>
      <c r="N1997" s="796"/>
      <c r="O1997" s="796"/>
    </row>
    <row r="1998" spans="2:15">
      <c r="C1998" s="788">
        <f>IF(D1984="","-",+C1997+1)</f>
        <v>2027</v>
      </c>
      <c r="D1998" s="736">
        <f t="shared" si="126"/>
        <v>1751251.0714285718</v>
      </c>
      <c r="E1998" s="789">
        <f t="shared" si="131"/>
        <v>63681.857142857145</v>
      </c>
      <c r="F1998" s="736">
        <f t="shared" si="127"/>
        <v>1687569.2142857148</v>
      </c>
      <c r="G1998" s="794">
        <f t="shared" si="128"/>
        <v>312143.21232327563</v>
      </c>
      <c r="H1998" s="795">
        <f t="shared" si="129"/>
        <v>312143.21232327563</v>
      </c>
      <c r="I1998" s="792">
        <f t="shared" si="130"/>
        <v>0</v>
      </c>
      <c r="J1998" s="792"/>
      <c r="K1998" s="812"/>
      <c r="L1998" s="796"/>
      <c r="M1998" s="812"/>
      <c r="N1998" s="796"/>
      <c r="O1998" s="796"/>
    </row>
    <row r="1999" spans="2:15">
      <c r="C1999" s="788">
        <f>IF(D1984="","-",+C1998+1)</f>
        <v>2028</v>
      </c>
      <c r="D1999" s="736">
        <f t="shared" si="126"/>
        <v>1687569.2142857148</v>
      </c>
      <c r="E1999" s="789">
        <f t="shared" si="131"/>
        <v>63681.857142857145</v>
      </c>
      <c r="F1999" s="736">
        <f t="shared" si="127"/>
        <v>1623887.3571428577</v>
      </c>
      <c r="G1999" s="794">
        <f t="shared" si="128"/>
        <v>302940.9399091861</v>
      </c>
      <c r="H1999" s="795">
        <f t="shared" si="129"/>
        <v>302940.9399091861</v>
      </c>
      <c r="I1999" s="792">
        <f t="shared" si="130"/>
        <v>0</v>
      </c>
      <c r="J1999" s="792"/>
      <c r="K1999" s="812"/>
      <c r="L1999" s="796"/>
      <c r="M1999" s="812"/>
      <c r="N1999" s="796"/>
      <c r="O1999" s="796"/>
    </row>
    <row r="2000" spans="2:15">
      <c r="C2000" s="788">
        <f>IF(D1984="","-",+C1999+1)</f>
        <v>2029</v>
      </c>
      <c r="D2000" s="736">
        <f t="shared" si="126"/>
        <v>1623887.3571428577</v>
      </c>
      <c r="E2000" s="789">
        <f t="shared" si="131"/>
        <v>63681.857142857145</v>
      </c>
      <c r="F2000" s="736">
        <f t="shared" si="127"/>
        <v>1560205.5000000007</v>
      </c>
      <c r="G2000" s="794">
        <f t="shared" si="128"/>
        <v>293738.66749509651</v>
      </c>
      <c r="H2000" s="795">
        <f t="shared" si="129"/>
        <v>293738.66749509651</v>
      </c>
      <c r="I2000" s="792">
        <f t="shared" si="130"/>
        <v>0</v>
      </c>
      <c r="J2000" s="792"/>
      <c r="K2000" s="812"/>
      <c r="L2000" s="796"/>
      <c r="M2000" s="812"/>
      <c r="N2000" s="796"/>
      <c r="O2000" s="796"/>
    </row>
    <row r="2001" spans="3:15">
      <c r="C2001" s="788">
        <f>IF(D1984="","-",+C2000+1)</f>
        <v>2030</v>
      </c>
      <c r="D2001" s="736">
        <f t="shared" si="126"/>
        <v>1560205.5000000007</v>
      </c>
      <c r="E2001" s="789">
        <f t="shared" si="131"/>
        <v>63681.857142857145</v>
      </c>
      <c r="F2001" s="736">
        <f t="shared" si="127"/>
        <v>1496523.6428571437</v>
      </c>
      <c r="G2001" s="794">
        <f t="shared" si="128"/>
        <v>284536.39508100698</v>
      </c>
      <c r="H2001" s="795">
        <f t="shared" si="129"/>
        <v>284536.39508100698</v>
      </c>
      <c r="I2001" s="792">
        <f t="shared" si="130"/>
        <v>0</v>
      </c>
      <c r="J2001" s="792"/>
      <c r="K2001" s="812"/>
      <c r="L2001" s="796"/>
      <c r="M2001" s="812"/>
      <c r="N2001" s="796"/>
      <c r="O2001" s="796"/>
    </row>
    <row r="2002" spans="3:15">
      <c r="C2002" s="788">
        <f>IF(D1984="","-",+C2001+1)</f>
        <v>2031</v>
      </c>
      <c r="D2002" s="736">
        <f t="shared" si="126"/>
        <v>1496523.6428571437</v>
      </c>
      <c r="E2002" s="789">
        <f t="shared" si="131"/>
        <v>63681.857142857145</v>
      </c>
      <c r="F2002" s="736">
        <f t="shared" si="127"/>
        <v>1432841.7857142866</v>
      </c>
      <c r="G2002" s="794">
        <f t="shared" si="128"/>
        <v>275334.12266691739</v>
      </c>
      <c r="H2002" s="795">
        <f t="shared" si="129"/>
        <v>275334.12266691739</v>
      </c>
      <c r="I2002" s="792">
        <f t="shared" si="130"/>
        <v>0</v>
      </c>
      <c r="J2002" s="792"/>
      <c r="K2002" s="812"/>
      <c r="L2002" s="796"/>
      <c r="M2002" s="812"/>
      <c r="N2002" s="797"/>
      <c r="O2002" s="796"/>
    </row>
    <row r="2003" spans="3:15">
      <c r="C2003" s="788">
        <f>IF(D1984="","-",+C2002+1)</f>
        <v>2032</v>
      </c>
      <c r="D2003" s="736">
        <f t="shared" si="126"/>
        <v>1432841.7857142866</v>
      </c>
      <c r="E2003" s="789">
        <f t="shared" si="131"/>
        <v>63681.857142857145</v>
      </c>
      <c r="F2003" s="736">
        <f t="shared" si="127"/>
        <v>1369159.9285714296</v>
      </c>
      <c r="G2003" s="794">
        <f t="shared" si="128"/>
        <v>266131.85025282786</v>
      </c>
      <c r="H2003" s="795">
        <f t="shared" si="129"/>
        <v>266131.85025282786</v>
      </c>
      <c r="I2003" s="792">
        <f t="shared" si="130"/>
        <v>0</v>
      </c>
      <c r="J2003" s="792"/>
      <c r="K2003" s="812"/>
      <c r="L2003" s="796"/>
      <c r="M2003" s="812"/>
      <c r="N2003" s="796"/>
      <c r="O2003" s="796"/>
    </row>
    <row r="2004" spans="3:15">
      <c r="C2004" s="788">
        <f>IF(D1984="","-",+C2003+1)</f>
        <v>2033</v>
      </c>
      <c r="D2004" s="736">
        <f t="shared" si="126"/>
        <v>1369159.9285714296</v>
      </c>
      <c r="E2004" s="789">
        <f t="shared" si="131"/>
        <v>63681.857142857145</v>
      </c>
      <c r="F2004" s="736">
        <f t="shared" si="127"/>
        <v>1305478.0714285725</v>
      </c>
      <c r="G2004" s="794">
        <f t="shared" si="128"/>
        <v>256929.57783873827</v>
      </c>
      <c r="H2004" s="795">
        <f t="shared" si="129"/>
        <v>256929.57783873827</v>
      </c>
      <c r="I2004" s="792">
        <f t="shared" si="130"/>
        <v>0</v>
      </c>
      <c r="J2004" s="792"/>
      <c r="K2004" s="812"/>
      <c r="L2004" s="796"/>
      <c r="M2004" s="812"/>
      <c r="N2004" s="796"/>
      <c r="O2004" s="796"/>
    </row>
    <row r="2005" spans="3:15">
      <c r="C2005" s="788">
        <f>IF(D1984="","-",+C2004+1)</f>
        <v>2034</v>
      </c>
      <c r="D2005" s="736">
        <f t="shared" si="126"/>
        <v>1305478.0714285725</v>
      </c>
      <c r="E2005" s="789">
        <f t="shared" si="131"/>
        <v>63681.857142857145</v>
      </c>
      <c r="F2005" s="736">
        <f t="shared" si="127"/>
        <v>1241796.2142857155</v>
      </c>
      <c r="G2005" s="794">
        <f t="shared" si="128"/>
        <v>247727.30542464874</v>
      </c>
      <c r="H2005" s="795">
        <f t="shared" si="129"/>
        <v>247727.30542464874</v>
      </c>
      <c r="I2005" s="792">
        <f t="shared" si="130"/>
        <v>0</v>
      </c>
      <c r="J2005" s="792"/>
      <c r="K2005" s="812"/>
      <c r="L2005" s="796"/>
      <c r="M2005" s="812"/>
      <c r="N2005" s="796"/>
      <c r="O2005" s="796"/>
    </row>
    <row r="2006" spans="3:15">
      <c r="C2006" s="788">
        <f>IF(D1984="","-",+C2005+1)</f>
        <v>2035</v>
      </c>
      <c r="D2006" s="736">
        <f t="shared" si="126"/>
        <v>1241796.2142857155</v>
      </c>
      <c r="E2006" s="789">
        <f t="shared" si="131"/>
        <v>63681.857142857145</v>
      </c>
      <c r="F2006" s="736">
        <f t="shared" si="127"/>
        <v>1178114.3571428584</v>
      </c>
      <c r="G2006" s="794">
        <f t="shared" si="128"/>
        <v>238525.03301055916</v>
      </c>
      <c r="H2006" s="795">
        <f t="shared" si="129"/>
        <v>238525.03301055916</v>
      </c>
      <c r="I2006" s="792">
        <f t="shared" si="130"/>
        <v>0</v>
      </c>
      <c r="J2006" s="792"/>
      <c r="K2006" s="812"/>
      <c r="L2006" s="796"/>
      <c r="M2006" s="812"/>
      <c r="N2006" s="796"/>
      <c r="O2006" s="796"/>
    </row>
    <row r="2007" spans="3:15">
      <c r="C2007" s="788">
        <f>IF(D1984="","-",+C2006+1)</f>
        <v>2036</v>
      </c>
      <c r="D2007" s="736">
        <f t="shared" si="126"/>
        <v>1178114.3571428584</v>
      </c>
      <c r="E2007" s="789">
        <f t="shared" si="131"/>
        <v>63681.857142857145</v>
      </c>
      <c r="F2007" s="736">
        <f t="shared" si="127"/>
        <v>1114432.5000000014</v>
      </c>
      <c r="G2007" s="794">
        <f t="shared" si="128"/>
        <v>229322.76059646963</v>
      </c>
      <c r="H2007" s="795">
        <f t="shared" si="129"/>
        <v>229322.76059646963</v>
      </c>
      <c r="I2007" s="792">
        <f t="shared" si="130"/>
        <v>0</v>
      </c>
      <c r="J2007" s="792"/>
      <c r="K2007" s="812"/>
      <c r="L2007" s="796"/>
      <c r="M2007" s="812"/>
      <c r="N2007" s="796"/>
      <c r="O2007" s="796"/>
    </row>
    <row r="2008" spans="3:15">
      <c r="C2008" s="788">
        <f>IF(D1984="","-",+C2007+1)</f>
        <v>2037</v>
      </c>
      <c r="D2008" s="736">
        <f t="shared" si="126"/>
        <v>1114432.5000000014</v>
      </c>
      <c r="E2008" s="789">
        <f t="shared" si="131"/>
        <v>63681.857142857145</v>
      </c>
      <c r="F2008" s="736">
        <f t="shared" si="127"/>
        <v>1050750.6428571444</v>
      </c>
      <c r="G2008" s="794">
        <f t="shared" si="128"/>
        <v>220120.48818238004</v>
      </c>
      <c r="H2008" s="795">
        <f t="shared" si="129"/>
        <v>220120.48818238004</v>
      </c>
      <c r="I2008" s="792">
        <f t="shared" si="130"/>
        <v>0</v>
      </c>
      <c r="J2008" s="792"/>
      <c r="K2008" s="812"/>
      <c r="L2008" s="796"/>
      <c r="M2008" s="812"/>
      <c r="N2008" s="796"/>
      <c r="O2008" s="796"/>
    </row>
    <row r="2009" spans="3:15">
      <c r="C2009" s="788">
        <f>IF(D1984="","-",+C2008+1)</f>
        <v>2038</v>
      </c>
      <c r="D2009" s="736">
        <f t="shared" si="126"/>
        <v>1050750.6428571444</v>
      </c>
      <c r="E2009" s="789">
        <f t="shared" si="131"/>
        <v>63681.857142857145</v>
      </c>
      <c r="F2009" s="736">
        <f t="shared" si="127"/>
        <v>987068.78571428719</v>
      </c>
      <c r="G2009" s="794">
        <f t="shared" si="128"/>
        <v>210918.21576829051</v>
      </c>
      <c r="H2009" s="795">
        <f t="shared" si="129"/>
        <v>210918.21576829051</v>
      </c>
      <c r="I2009" s="792">
        <f t="shared" si="130"/>
        <v>0</v>
      </c>
      <c r="J2009" s="792"/>
      <c r="K2009" s="812"/>
      <c r="L2009" s="796"/>
      <c r="M2009" s="812"/>
      <c r="N2009" s="796"/>
      <c r="O2009" s="796"/>
    </row>
    <row r="2010" spans="3:15">
      <c r="C2010" s="788">
        <f>IF(D1984="","-",+C2009+1)</f>
        <v>2039</v>
      </c>
      <c r="D2010" s="736">
        <f t="shared" si="126"/>
        <v>987068.78571428719</v>
      </c>
      <c r="E2010" s="789">
        <f t="shared" si="131"/>
        <v>63681.857142857145</v>
      </c>
      <c r="F2010" s="736">
        <f t="shared" si="127"/>
        <v>923386.92857143003</v>
      </c>
      <c r="G2010" s="794">
        <f t="shared" si="128"/>
        <v>201715.94335420092</v>
      </c>
      <c r="H2010" s="795">
        <f t="shared" si="129"/>
        <v>201715.94335420092</v>
      </c>
      <c r="I2010" s="792">
        <f t="shared" si="130"/>
        <v>0</v>
      </c>
      <c r="J2010" s="792"/>
      <c r="K2010" s="812"/>
      <c r="L2010" s="796"/>
      <c r="M2010" s="812"/>
      <c r="N2010" s="796"/>
      <c r="O2010" s="796"/>
    </row>
    <row r="2011" spans="3:15">
      <c r="C2011" s="788">
        <f>IF(D1984="","-",+C2010+1)</f>
        <v>2040</v>
      </c>
      <c r="D2011" s="736">
        <f t="shared" si="126"/>
        <v>923386.92857143003</v>
      </c>
      <c r="E2011" s="789">
        <f t="shared" si="131"/>
        <v>63681.857142857145</v>
      </c>
      <c r="F2011" s="736">
        <f t="shared" si="127"/>
        <v>859705.07142857288</v>
      </c>
      <c r="G2011" s="794">
        <f t="shared" si="128"/>
        <v>192513.67094011133</v>
      </c>
      <c r="H2011" s="795">
        <f t="shared" si="129"/>
        <v>192513.67094011133</v>
      </c>
      <c r="I2011" s="792">
        <f t="shared" si="130"/>
        <v>0</v>
      </c>
      <c r="J2011" s="792"/>
      <c r="K2011" s="812"/>
      <c r="L2011" s="796"/>
      <c r="M2011" s="812"/>
      <c r="N2011" s="796"/>
      <c r="O2011" s="796"/>
    </row>
    <row r="2012" spans="3:15">
      <c r="C2012" s="788">
        <f>IF(D1984="","-",+C2011+1)</f>
        <v>2041</v>
      </c>
      <c r="D2012" s="736">
        <f t="shared" si="126"/>
        <v>859705.07142857288</v>
      </c>
      <c r="E2012" s="789">
        <f t="shared" si="131"/>
        <v>63681.857142857145</v>
      </c>
      <c r="F2012" s="736">
        <f t="shared" si="127"/>
        <v>796023.21428571572</v>
      </c>
      <c r="G2012" s="794">
        <f t="shared" si="128"/>
        <v>183311.3985260218</v>
      </c>
      <c r="H2012" s="795">
        <f t="shared" si="129"/>
        <v>183311.3985260218</v>
      </c>
      <c r="I2012" s="792">
        <f t="shared" si="130"/>
        <v>0</v>
      </c>
      <c r="J2012" s="792"/>
      <c r="K2012" s="812"/>
      <c r="L2012" s="796"/>
      <c r="M2012" s="812"/>
      <c r="N2012" s="796"/>
      <c r="O2012" s="796"/>
    </row>
    <row r="2013" spans="3:15">
      <c r="C2013" s="788">
        <f>IF(D1984="","-",+C2012+1)</f>
        <v>2042</v>
      </c>
      <c r="D2013" s="736">
        <f t="shared" si="126"/>
        <v>796023.21428571572</v>
      </c>
      <c r="E2013" s="789">
        <f t="shared" si="131"/>
        <v>63681.857142857145</v>
      </c>
      <c r="F2013" s="736">
        <f t="shared" si="127"/>
        <v>732341.35714285856</v>
      </c>
      <c r="G2013" s="794">
        <f t="shared" si="128"/>
        <v>174109.12611193222</v>
      </c>
      <c r="H2013" s="795">
        <f t="shared" si="129"/>
        <v>174109.12611193222</v>
      </c>
      <c r="I2013" s="792">
        <f t="shared" si="130"/>
        <v>0</v>
      </c>
      <c r="J2013" s="792"/>
      <c r="K2013" s="812"/>
      <c r="L2013" s="796"/>
      <c r="M2013" s="812"/>
      <c r="N2013" s="796"/>
      <c r="O2013" s="796"/>
    </row>
    <row r="2014" spans="3:15">
      <c r="C2014" s="788">
        <f>IF(D1984="","-",+C2013+1)</f>
        <v>2043</v>
      </c>
      <c r="D2014" s="736">
        <f t="shared" si="126"/>
        <v>732341.35714285856</v>
      </c>
      <c r="E2014" s="789">
        <f t="shared" si="131"/>
        <v>63681.857142857145</v>
      </c>
      <c r="F2014" s="736">
        <f t="shared" si="127"/>
        <v>668659.5000000014</v>
      </c>
      <c r="G2014" s="794">
        <f t="shared" si="128"/>
        <v>164906.85369784263</v>
      </c>
      <c r="H2014" s="795">
        <f t="shared" si="129"/>
        <v>164906.85369784263</v>
      </c>
      <c r="I2014" s="792">
        <f t="shared" si="130"/>
        <v>0</v>
      </c>
      <c r="J2014" s="792"/>
      <c r="K2014" s="812"/>
      <c r="L2014" s="796"/>
      <c r="M2014" s="812"/>
      <c r="N2014" s="796"/>
      <c r="O2014" s="796"/>
    </row>
    <row r="2015" spans="3:15">
      <c r="C2015" s="788">
        <f>IF(D1984="","-",+C2014+1)</f>
        <v>2044</v>
      </c>
      <c r="D2015" s="736">
        <f t="shared" si="126"/>
        <v>668659.5000000014</v>
      </c>
      <c r="E2015" s="789">
        <f t="shared" si="131"/>
        <v>63681.857142857145</v>
      </c>
      <c r="F2015" s="736">
        <f t="shared" si="127"/>
        <v>604977.64285714424</v>
      </c>
      <c r="G2015" s="794">
        <f t="shared" si="128"/>
        <v>155704.58128375304</v>
      </c>
      <c r="H2015" s="795">
        <f t="shared" si="129"/>
        <v>155704.58128375304</v>
      </c>
      <c r="I2015" s="792">
        <f t="shared" si="130"/>
        <v>0</v>
      </c>
      <c r="J2015" s="792"/>
      <c r="K2015" s="812"/>
      <c r="L2015" s="796"/>
      <c r="M2015" s="812"/>
      <c r="N2015" s="796"/>
      <c r="O2015" s="796"/>
    </row>
    <row r="2016" spans="3:15">
      <c r="C2016" s="788">
        <f>IF(D1984="","-",+C2015+1)</f>
        <v>2045</v>
      </c>
      <c r="D2016" s="736">
        <f t="shared" si="126"/>
        <v>604977.64285714424</v>
      </c>
      <c r="E2016" s="789">
        <f t="shared" si="131"/>
        <v>63681.857142857145</v>
      </c>
      <c r="F2016" s="736">
        <f t="shared" si="127"/>
        <v>541295.78571428708</v>
      </c>
      <c r="G2016" s="794">
        <f t="shared" si="128"/>
        <v>146502.30886966351</v>
      </c>
      <c r="H2016" s="795">
        <f t="shared" si="129"/>
        <v>146502.30886966351</v>
      </c>
      <c r="I2016" s="792">
        <f t="shared" si="130"/>
        <v>0</v>
      </c>
      <c r="J2016" s="792"/>
      <c r="K2016" s="812"/>
      <c r="L2016" s="796"/>
      <c r="M2016" s="812"/>
      <c r="N2016" s="796"/>
      <c r="O2016" s="796"/>
    </row>
    <row r="2017" spans="3:15">
      <c r="C2017" s="788">
        <f>IF(D1984="","-",+C2016+1)</f>
        <v>2046</v>
      </c>
      <c r="D2017" s="736">
        <f t="shared" si="126"/>
        <v>541295.78571428708</v>
      </c>
      <c r="E2017" s="789">
        <f t="shared" si="131"/>
        <v>63681.857142857145</v>
      </c>
      <c r="F2017" s="736">
        <f t="shared" si="127"/>
        <v>477613.92857142992</v>
      </c>
      <c r="G2017" s="794">
        <f t="shared" si="128"/>
        <v>137300.03645557392</v>
      </c>
      <c r="H2017" s="795">
        <f t="shared" si="129"/>
        <v>137300.03645557392</v>
      </c>
      <c r="I2017" s="792">
        <f t="shared" si="130"/>
        <v>0</v>
      </c>
      <c r="J2017" s="792"/>
      <c r="K2017" s="812"/>
      <c r="L2017" s="796"/>
      <c r="M2017" s="812"/>
      <c r="N2017" s="796"/>
      <c r="O2017" s="796"/>
    </row>
    <row r="2018" spans="3:15">
      <c r="C2018" s="788">
        <f>IF(D1984="","-",+C2017+1)</f>
        <v>2047</v>
      </c>
      <c r="D2018" s="736">
        <f t="shared" si="126"/>
        <v>477613.92857142992</v>
      </c>
      <c r="E2018" s="789">
        <f t="shared" si="131"/>
        <v>63681.857142857145</v>
      </c>
      <c r="F2018" s="736">
        <f t="shared" si="127"/>
        <v>413932.07142857276</v>
      </c>
      <c r="G2018" s="790">
        <f t="shared" si="128"/>
        <v>128097.76404148433</v>
      </c>
      <c r="H2018" s="795">
        <f t="shared" si="129"/>
        <v>128097.76404148433</v>
      </c>
      <c r="I2018" s="792">
        <f t="shared" si="130"/>
        <v>0</v>
      </c>
      <c r="J2018" s="792"/>
      <c r="K2018" s="812"/>
      <c r="L2018" s="796"/>
      <c r="M2018" s="812"/>
      <c r="N2018" s="796"/>
      <c r="O2018" s="796"/>
    </row>
    <row r="2019" spans="3:15">
      <c r="C2019" s="788">
        <f>IF(D1984="","-",+C2018+1)</f>
        <v>2048</v>
      </c>
      <c r="D2019" s="736">
        <f t="shared" si="126"/>
        <v>413932.07142857276</v>
      </c>
      <c r="E2019" s="789">
        <f t="shared" si="131"/>
        <v>63681.857142857145</v>
      </c>
      <c r="F2019" s="736">
        <f t="shared" si="127"/>
        <v>350250.2142857156</v>
      </c>
      <c r="G2019" s="794">
        <f t="shared" si="128"/>
        <v>118895.49162739477</v>
      </c>
      <c r="H2019" s="795">
        <f t="shared" si="129"/>
        <v>118895.49162739477</v>
      </c>
      <c r="I2019" s="792">
        <f t="shared" si="130"/>
        <v>0</v>
      </c>
      <c r="J2019" s="792"/>
      <c r="K2019" s="812"/>
      <c r="L2019" s="796"/>
      <c r="M2019" s="812"/>
      <c r="N2019" s="796"/>
      <c r="O2019" s="796"/>
    </row>
    <row r="2020" spans="3:15">
      <c r="C2020" s="788">
        <f>IF(D1984="","-",+C2019+1)</f>
        <v>2049</v>
      </c>
      <c r="D2020" s="736">
        <f t="shared" si="126"/>
        <v>350250.2142857156</v>
      </c>
      <c r="E2020" s="789">
        <f t="shared" si="131"/>
        <v>63681.857142857145</v>
      </c>
      <c r="F2020" s="736">
        <f t="shared" si="127"/>
        <v>286568.35714285844</v>
      </c>
      <c r="G2020" s="794">
        <f t="shared" si="128"/>
        <v>109693.21921330519</v>
      </c>
      <c r="H2020" s="795">
        <f t="shared" si="129"/>
        <v>109693.21921330519</v>
      </c>
      <c r="I2020" s="792">
        <f t="shared" si="130"/>
        <v>0</v>
      </c>
      <c r="J2020" s="792"/>
      <c r="K2020" s="812"/>
      <c r="L2020" s="796"/>
      <c r="M2020" s="812"/>
      <c r="N2020" s="796"/>
      <c r="O2020" s="796"/>
    </row>
    <row r="2021" spans="3:15">
      <c r="C2021" s="788">
        <f>IF(D1984="","-",+C2020+1)</f>
        <v>2050</v>
      </c>
      <c r="D2021" s="736">
        <f t="shared" si="126"/>
        <v>286568.35714285844</v>
      </c>
      <c r="E2021" s="789">
        <f t="shared" si="131"/>
        <v>63681.857142857145</v>
      </c>
      <c r="F2021" s="736">
        <f t="shared" si="127"/>
        <v>222886.50000000128</v>
      </c>
      <c r="G2021" s="794">
        <f t="shared" si="128"/>
        <v>100490.94679921563</v>
      </c>
      <c r="H2021" s="795">
        <f t="shared" si="129"/>
        <v>100490.94679921563</v>
      </c>
      <c r="I2021" s="792">
        <f t="shared" si="130"/>
        <v>0</v>
      </c>
      <c r="J2021" s="792"/>
      <c r="K2021" s="812"/>
      <c r="L2021" s="796"/>
      <c r="M2021" s="812"/>
      <c r="N2021" s="796"/>
      <c r="O2021" s="796"/>
    </row>
    <row r="2022" spans="3:15">
      <c r="C2022" s="788">
        <f>IF(D1984="","-",+C2021+1)</f>
        <v>2051</v>
      </c>
      <c r="D2022" s="736">
        <f t="shared" si="126"/>
        <v>222886.50000000128</v>
      </c>
      <c r="E2022" s="789">
        <f t="shared" si="131"/>
        <v>63681.857142857145</v>
      </c>
      <c r="F2022" s="736">
        <f t="shared" si="127"/>
        <v>159204.64285714412</v>
      </c>
      <c r="G2022" s="794">
        <f t="shared" si="128"/>
        <v>91288.67438512604</v>
      </c>
      <c r="H2022" s="795">
        <f t="shared" si="129"/>
        <v>91288.67438512604</v>
      </c>
      <c r="I2022" s="792">
        <f t="shared" si="130"/>
        <v>0</v>
      </c>
      <c r="J2022" s="792"/>
      <c r="K2022" s="812"/>
      <c r="L2022" s="796"/>
      <c r="M2022" s="812"/>
      <c r="N2022" s="796"/>
      <c r="O2022" s="796"/>
    </row>
    <row r="2023" spans="3:15">
      <c r="C2023" s="788">
        <f>IF(D1984="","-",+C2022+1)</f>
        <v>2052</v>
      </c>
      <c r="D2023" s="736">
        <f t="shared" si="126"/>
        <v>159204.64285714412</v>
      </c>
      <c r="E2023" s="789">
        <f t="shared" si="131"/>
        <v>63681.857142857145</v>
      </c>
      <c r="F2023" s="736">
        <f t="shared" si="127"/>
        <v>95522.785714286976</v>
      </c>
      <c r="G2023" s="794">
        <f t="shared" si="128"/>
        <v>82086.401971036466</v>
      </c>
      <c r="H2023" s="795">
        <f t="shared" si="129"/>
        <v>82086.401971036466</v>
      </c>
      <c r="I2023" s="792">
        <f t="shared" si="130"/>
        <v>0</v>
      </c>
      <c r="J2023" s="792"/>
      <c r="K2023" s="812"/>
      <c r="L2023" s="796"/>
      <c r="M2023" s="812"/>
      <c r="N2023" s="796"/>
      <c r="O2023" s="796"/>
    </row>
    <row r="2024" spans="3:15">
      <c r="C2024" s="788">
        <f>IF(D1984="","-",+C2023+1)</f>
        <v>2053</v>
      </c>
      <c r="D2024" s="736">
        <f t="shared" si="126"/>
        <v>95522.785714286976</v>
      </c>
      <c r="E2024" s="789">
        <f t="shared" si="131"/>
        <v>63681.857142857145</v>
      </c>
      <c r="F2024" s="736">
        <f t="shared" si="127"/>
        <v>31840.928571429831</v>
      </c>
      <c r="G2024" s="794">
        <f t="shared" si="128"/>
        <v>72884.129556946893</v>
      </c>
      <c r="H2024" s="795">
        <f t="shared" si="129"/>
        <v>72884.129556946893</v>
      </c>
      <c r="I2024" s="792">
        <f t="shared" si="130"/>
        <v>0</v>
      </c>
      <c r="J2024" s="792"/>
      <c r="K2024" s="812"/>
      <c r="L2024" s="796"/>
      <c r="M2024" s="812"/>
      <c r="N2024" s="796"/>
      <c r="O2024" s="796"/>
    </row>
    <row r="2025" spans="3:15">
      <c r="C2025" s="788">
        <f>IF(D1984="","-",+C2024+1)</f>
        <v>2054</v>
      </c>
      <c r="D2025" s="736">
        <f t="shared" si="126"/>
        <v>31840.928571429831</v>
      </c>
      <c r="E2025" s="789">
        <f t="shared" si="131"/>
        <v>31840.928571429831</v>
      </c>
      <c r="F2025" s="736">
        <f t="shared" si="127"/>
        <v>0</v>
      </c>
      <c r="G2025" s="794">
        <f t="shared" si="128"/>
        <v>34141.496674952316</v>
      </c>
      <c r="H2025" s="795">
        <f t="shared" si="129"/>
        <v>34141.496674952316</v>
      </c>
      <c r="I2025" s="792">
        <f t="shared" si="130"/>
        <v>0</v>
      </c>
      <c r="J2025" s="792"/>
      <c r="K2025" s="812"/>
      <c r="L2025" s="796"/>
      <c r="M2025" s="812"/>
      <c r="N2025" s="796"/>
      <c r="O2025" s="796"/>
    </row>
    <row r="2026" spans="3:15">
      <c r="C2026" s="788">
        <f>IF(D1984="","-",+C2025+1)</f>
        <v>2055</v>
      </c>
      <c r="D2026" s="736">
        <f t="shared" si="126"/>
        <v>0</v>
      </c>
      <c r="E2026" s="789">
        <f t="shared" si="131"/>
        <v>0</v>
      </c>
      <c r="F2026" s="736">
        <f t="shared" si="127"/>
        <v>0</v>
      </c>
      <c r="G2026" s="794">
        <f t="shared" si="128"/>
        <v>0</v>
      </c>
      <c r="H2026" s="795">
        <f t="shared" si="129"/>
        <v>0</v>
      </c>
      <c r="I2026" s="792">
        <f t="shared" si="130"/>
        <v>0</v>
      </c>
      <c r="J2026" s="792"/>
      <c r="K2026" s="812"/>
      <c r="L2026" s="796"/>
      <c r="M2026" s="812"/>
      <c r="N2026" s="796"/>
      <c r="O2026" s="796"/>
    </row>
    <row r="2027" spans="3:15">
      <c r="C2027" s="788">
        <f>IF(D1984="","-",+C2026+1)</f>
        <v>2056</v>
      </c>
      <c r="D2027" s="736">
        <f t="shared" si="126"/>
        <v>0</v>
      </c>
      <c r="E2027" s="789">
        <f t="shared" si="131"/>
        <v>0</v>
      </c>
      <c r="F2027" s="736">
        <f t="shared" si="127"/>
        <v>0</v>
      </c>
      <c r="G2027" s="794">
        <f t="shared" si="128"/>
        <v>0</v>
      </c>
      <c r="H2027" s="795">
        <f t="shared" si="129"/>
        <v>0</v>
      </c>
      <c r="I2027" s="792">
        <f t="shared" si="130"/>
        <v>0</v>
      </c>
      <c r="J2027" s="792"/>
      <c r="K2027" s="812"/>
      <c r="L2027" s="796"/>
      <c r="M2027" s="812"/>
      <c r="N2027" s="796"/>
      <c r="O2027" s="796"/>
    </row>
    <row r="2028" spans="3:15">
      <c r="C2028" s="788">
        <f>IF(D1984="","-",+C2027+1)</f>
        <v>2057</v>
      </c>
      <c r="D2028" s="736">
        <f t="shared" si="126"/>
        <v>0</v>
      </c>
      <c r="E2028" s="789">
        <f t="shared" si="131"/>
        <v>0</v>
      </c>
      <c r="F2028" s="736">
        <f t="shared" si="127"/>
        <v>0</v>
      </c>
      <c r="G2028" s="794">
        <f t="shared" si="128"/>
        <v>0</v>
      </c>
      <c r="H2028" s="795">
        <f t="shared" si="129"/>
        <v>0</v>
      </c>
      <c r="I2028" s="792">
        <f t="shared" si="130"/>
        <v>0</v>
      </c>
      <c r="J2028" s="792"/>
      <c r="K2028" s="812"/>
      <c r="L2028" s="796"/>
      <c r="M2028" s="812"/>
      <c r="N2028" s="796"/>
      <c r="O2028" s="796"/>
    </row>
    <row r="2029" spans="3:15">
      <c r="C2029" s="788">
        <f>IF(D1984="","-",+C2028+1)</f>
        <v>2058</v>
      </c>
      <c r="D2029" s="736">
        <f t="shared" si="126"/>
        <v>0</v>
      </c>
      <c r="E2029" s="789">
        <f t="shared" si="131"/>
        <v>0</v>
      </c>
      <c r="F2029" s="736">
        <f t="shared" si="127"/>
        <v>0</v>
      </c>
      <c r="G2029" s="794">
        <f t="shared" si="128"/>
        <v>0</v>
      </c>
      <c r="H2029" s="795">
        <f t="shared" si="129"/>
        <v>0</v>
      </c>
      <c r="I2029" s="792">
        <f t="shared" si="130"/>
        <v>0</v>
      </c>
      <c r="J2029" s="792"/>
      <c r="K2029" s="812"/>
      <c r="L2029" s="796"/>
      <c r="M2029" s="812"/>
      <c r="N2029" s="796"/>
      <c r="O2029" s="796"/>
    </row>
    <row r="2030" spans="3:15">
      <c r="C2030" s="788">
        <f>IF(D1984="","-",+C2029+1)</f>
        <v>2059</v>
      </c>
      <c r="D2030" s="736">
        <f t="shared" si="126"/>
        <v>0</v>
      </c>
      <c r="E2030" s="789">
        <f t="shared" si="131"/>
        <v>0</v>
      </c>
      <c r="F2030" s="736">
        <f t="shared" si="127"/>
        <v>0</v>
      </c>
      <c r="G2030" s="794">
        <f t="shared" si="128"/>
        <v>0</v>
      </c>
      <c r="H2030" s="795">
        <f t="shared" si="129"/>
        <v>0</v>
      </c>
      <c r="I2030" s="792">
        <f t="shared" si="130"/>
        <v>0</v>
      </c>
      <c r="J2030" s="792"/>
      <c r="K2030" s="812"/>
      <c r="L2030" s="796"/>
      <c r="M2030" s="812"/>
      <c r="N2030" s="796"/>
      <c r="O2030" s="796"/>
    </row>
    <row r="2031" spans="3:15">
      <c r="C2031" s="788">
        <f>IF(D1984="","-",+C2030+1)</f>
        <v>2060</v>
      </c>
      <c r="D2031" s="736">
        <f t="shared" si="126"/>
        <v>0</v>
      </c>
      <c r="E2031" s="789">
        <f t="shared" si="131"/>
        <v>0</v>
      </c>
      <c r="F2031" s="736">
        <f t="shared" si="127"/>
        <v>0</v>
      </c>
      <c r="G2031" s="794">
        <f t="shared" si="128"/>
        <v>0</v>
      </c>
      <c r="H2031" s="795">
        <f t="shared" si="129"/>
        <v>0</v>
      </c>
      <c r="I2031" s="792">
        <f t="shared" si="130"/>
        <v>0</v>
      </c>
      <c r="J2031" s="792"/>
      <c r="K2031" s="812"/>
      <c r="L2031" s="796"/>
      <c r="M2031" s="812"/>
      <c r="N2031" s="796"/>
      <c r="O2031" s="796"/>
    </row>
    <row r="2032" spans="3:15">
      <c r="C2032" s="788">
        <f>IF(D1984="","-",+C2031+1)</f>
        <v>2061</v>
      </c>
      <c r="D2032" s="736">
        <f t="shared" si="126"/>
        <v>0</v>
      </c>
      <c r="E2032" s="789">
        <f t="shared" si="131"/>
        <v>0</v>
      </c>
      <c r="F2032" s="736">
        <f t="shared" si="127"/>
        <v>0</v>
      </c>
      <c r="G2032" s="794">
        <f t="shared" si="128"/>
        <v>0</v>
      </c>
      <c r="H2032" s="795">
        <f t="shared" si="129"/>
        <v>0</v>
      </c>
      <c r="I2032" s="792">
        <f t="shared" si="130"/>
        <v>0</v>
      </c>
      <c r="J2032" s="792"/>
      <c r="K2032" s="812"/>
      <c r="L2032" s="796"/>
      <c r="M2032" s="812"/>
      <c r="N2032" s="796"/>
      <c r="O2032" s="796"/>
    </row>
    <row r="2033" spans="3:15">
      <c r="C2033" s="788">
        <f>IF(D1984="","-",+C2032+1)</f>
        <v>2062</v>
      </c>
      <c r="D2033" s="736">
        <f t="shared" si="126"/>
        <v>0</v>
      </c>
      <c r="E2033" s="789">
        <f t="shared" si="131"/>
        <v>0</v>
      </c>
      <c r="F2033" s="736">
        <f t="shared" si="127"/>
        <v>0</v>
      </c>
      <c r="G2033" s="794">
        <f t="shared" si="128"/>
        <v>0</v>
      </c>
      <c r="H2033" s="795">
        <f t="shared" si="129"/>
        <v>0</v>
      </c>
      <c r="I2033" s="792">
        <f t="shared" si="130"/>
        <v>0</v>
      </c>
      <c r="J2033" s="792"/>
      <c r="K2033" s="812"/>
      <c r="L2033" s="796"/>
      <c r="M2033" s="812"/>
      <c r="N2033" s="796"/>
      <c r="O2033" s="796"/>
    </row>
    <row r="2034" spans="3:15">
      <c r="C2034" s="788">
        <f>IF(D1984="","-",+C2033+1)</f>
        <v>2063</v>
      </c>
      <c r="D2034" s="736">
        <f t="shared" si="126"/>
        <v>0</v>
      </c>
      <c r="E2034" s="789">
        <f t="shared" si="131"/>
        <v>0</v>
      </c>
      <c r="F2034" s="736">
        <f t="shared" si="127"/>
        <v>0</v>
      </c>
      <c r="G2034" s="794">
        <f t="shared" si="128"/>
        <v>0</v>
      </c>
      <c r="H2034" s="795">
        <f t="shared" si="129"/>
        <v>0</v>
      </c>
      <c r="I2034" s="792">
        <f t="shared" si="130"/>
        <v>0</v>
      </c>
      <c r="J2034" s="792"/>
      <c r="K2034" s="812"/>
      <c r="L2034" s="796"/>
      <c r="M2034" s="812"/>
      <c r="N2034" s="796"/>
      <c r="O2034" s="796"/>
    </row>
    <row r="2035" spans="3:15">
      <c r="C2035" s="788">
        <f>IF(D1984="","-",+C2034+1)</f>
        <v>2064</v>
      </c>
      <c r="D2035" s="736">
        <f t="shared" si="126"/>
        <v>0</v>
      </c>
      <c r="E2035" s="789">
        <f t="shared" si="131"/>
        <v>0</v>
      </c>
      <c r="F2035" s="736">
        <f t="shared" si="127"/>
        <v>0</v>
      </c>
      <c r="G2035" s="794">
        <f t="shared" si="128"/>
        <v>0</v>
      </c>
      <c r="H2035" s="795">
        <f t="shared" si="129"/>
        <v>0</v>
      </c>
      <c r="I2035" s="792">
        <f t="shared" si="130"/>
        <v>0</v>
      </c>
      <c r="J2035" s="792"/>
      <c r="K2035" s="812"/>
      <c r="L2035" s="796"/>
      <c r="M2035" s="812"/>
      <c r="N2035" s="796"/>
      <c r="O2035" s="796"/>
    </row>
    <row r="2036" spans="3:15">
      <c r="C2036" s="788">
        <f>IF(D1984="","-",+C2035+1)</f>
        <v>2065</v>
      </c>
      <c r="D2036" s="736">
        <f t="shared" si="126"/>
        <v>0</v>
      </c>
      <c r="E2036" s="789">
        <f t="shared" si="131"/>
        <v>0</v>
      </c>
      <c r="F2036" s="736">
        <f t="shared" si="127"/>
        <v>0</v>
      </c>
      <c r="G2036" s="794">
        <f t="shared" si="128"/>
        <v>0</v>
      </c>
      <c r="H2036" s="795">
        <f t="shared" si="129"/>
        <v>0</v>
      </c>
      <c r="I2036" s="792">
        <f t="shared" si="130"/>
        <v>0</v>
      </c>
      <c r="J2036" s="792"/>
      <c r="K2036" s="812"/>
      <c r="L2036" s="796"/>
      <c r="M2036" s="812"/>
      <c r="N2036" s="796"/>
      <c r="O2036" s="796"/>
    </row>
    <row r="2037" spans="3:15">
      <c r="C2037" s="788">
        <f>IF(D1984="","-",+C2036+1)</f>
        <v>2066</v>
      </c>
      <c r="D2037" s="736">
        <f t="shared" si="126"/>
        <v>0</v>
      </c>
      <c r="E2037" s="789">
        <f t="shared" si="131"/>
        <v>0</v>
      </c>
      <c r="F2037" s="736">
        <f t="shared" si="127"/>
        <v>0</v>
      </c>
      <c r="G2037" s="794">
        <f t="shared" si="128"/>
        <v>0</v>
      </c>
      <c r="H2037" s="795">
        <f t="shared" si="129"/>
        <v>0</v>
      </c>
      <c r="I2037" s="792">
        <f t="shared" si="130"/>
        <v>0</v>
      </c>
      <c r="J2037" s="792"/>
      <c r="K2037" s="812"/>
      <c r="L2037" s="796"/>
      <c r="M2037" s="812"/>
      <c r="N2037" s="796"/>
      <c r="O2037" s="796"/>
    </row>
    <row r="2038" spans="3:15">
      <c r="C2038" s="788">
        <f>IF(D1984="","-",+C2037+1)</f>
        <v>2067</v>
      </c>
      <c r="D2038" s="736">
        <f t="shared" si="126"/>
        <v>0</v>
      </c>
      <c r="E2038" s="789">
        <f t="shared" si="131"/>
        <v>0</v>
      </c>
      <c r="F2038" s="736">
        <f t="shared" si="127"/>
        <v>0</v>
      </c>
      <c r="G2038" s="794">
        <f t="shared" si="128"/>
        <v>0</v>
      </c>
      <c r="H2038" s="795">
        <f t="shared" si="129"/>
        <v>0</v>
      </c>
      <c r="I2038" s="792">
        <f t="shared" si="130"/>
        <v>0</v>
      </c>
      <c r="J2038" s="792"/>
      <c r="K2038" s="812"/>
      <c r="L2038" s="796"/>
      <c r="M2038" s="812"/>
      <c r="N2038" s="796"/>
      <c r="O2038" s="796"/>
    </row>
    <row r="2039" spans="3:15">
      <c r="C2039" s="788">
        <f>IF(D1984="","-",+C2038+1)</f>
        <v>2068</v>
      </c>
      <c r="D2039" s="736">
        <f t="shared" si="126"/>
        <v>0</v>
      </c>
      <c r="E2039" s="789">
        <f t="shared" si="131"/>
        <v>0</v>
      </c>
      <c r="F2039" s="736">
        <f t="shared" si="127"/>
        <v>0</v>
      </c>
      <c r="G2039" s="794">
        <f t="shared" si="128"/>
        <v>0</v>
      </c>
      <c r="H2039" s="795">
        <f t="shared" si="129"/>
        <v>0</v>
      </c>
      <c r="I2039" s="792">
        <f t="shared" si="130"/>
        <v>0</v>
      </c>
      <c r="J2039" s="792"/>
      <c r="K2039" s="812"/>
      <c r="L2039" s="796"/>
      <c r="M2039" s="812"/>
      <c r="N2039" s="796"/>
      <c r="O2039" s="796"/>
    </row>
    <row r="2040" spans="3:15">
      <c r="C2040" s="788">
        <f>IF(D1984="","-",+C2039+1)</f>
        <v>2069</v>
      </c>
      <c r="D2040" s="736">
        <f t="shared" si="126"/>
        <v>0</v>
      </c>
      <c r="E2040" s="789">
        <f t="shared" si="131"/>
        <v>0</v>
      </c>
      <c r="F2040" s="736">
        <f t="shared" si="127"/>
        <v>0</v>
      </c>
      <c r="G2040" s="794">
        <f t="shared" si="128"/>
        <v>0</v>
      </c>
      <c r="H2040" s="795">
        <f t="shared" si="129"/>
        <v>0</v>
      </c>
      <c r="I2040" s="792">
        <f t="shared" si="130"/>
        <v>0</v>
      </c>
      <c r="J2040" s="792"/>
      <c r="K2040" s="812"/>
      <c r="L2040" s="796"/>
      <c r="M2040" s="812"/>
      <c r="N2040" s="796"/>
      <c r="O2040" s="796"/>
    </row>
    <row r="2041" spans="3:15">
      <c r="C2041" s="788">
        <f>IF(D1984="","-",+C2040+1)</f>
        <v>2070</v>
      </c>
      <c r="D2041" s="736">
        <f t="shared" si="126"/>
        <v>0</v>
      </c>
      <c r="E2041" s="789">
        <f t="shared" si="131"/>
        <v>0</v>
      </c>
      <c r="F2041" s="736">
        <f t="shared" si="127"/>
        <v>0</v>
      </c>
      <c r="G2041" s="794">
        <f t="shared" si="128"/>
        <v>0</v>
      </c>
      <c r="H2041" s="795">
        <f t="shared" si="129"/>
        <v>0</v>
      </c>
      <c r="I2041" s="792">
        <f t="shared" si="130"/>
        <v>0</v>
      </c>
      <c r="J2041" s="792"/>
      <c r="K2041" s="812"/>
      <c r="L2041" s="796"/>
      <c r="M2041" s="812"/>
      <c r="N2041" s="796"/>
      <c r="O2041" s="796"/>
    </row>
    <row r="2042" spans="3:15">
      <c r="C2042" s="788">
        <f>IF(D1984="","-",+C2041+1)</f>
        <v>2071</v>
      </c>
      <c r="D2042" s="736">
        <f t="shared" si="126"/>
        <v>0</v>
      </c>
      <c r="E2042" s="789">
        <f t="shared" si="131"/>
        <v>0</v>
      </c>
      <c r="F2042" s="736">
        <f t="shared" si="127"/>
        <v>0</v>
      </c>
      <c r="G2042" s="794">
        <f t="shared" si="128"/>
        <v>0</v>
      </c>
      <c r="H2042" s="795">
        <f t="shared" si="129"/>
        <v>0</v>
      </c>
      <c r="I2042" s="792">
        <f t="shared" si="130"/>
        <v>0</v>
      </c>
      <c r="J2042" s="792"/>
      <c r="K2042" s="812"/>
      <c r="L2042" s="796"/>
      <c r="M2042" s="812"/>
      <c r="N2042" s="796"/>
      <c r="O2042" s="796"/>
    </row>
    <row r="2043" spans="3:15">
      <c r="C2043" s="788">
        <f>IF(D1984="","-",+C2042+1)</f>
        <v>2072</v>
      </c>
      <c r="D2043" s="736">
        <f t="shared" si="126"/>
        <v>0</v>
      </c>
      <c r="E2043" s="789">
        <f t="shared" si="131"/>
        <v>0</v>
      </c>
      <c r="F2043" s="736">
        <f t="shared" si="127"/>
        <v>0</v>
      </c>
      <c r="G2043" s="794">
        <f t="shared" si="128"/>
        <v>0</v>
      </c>
      <c r="H2043" s="795">
        <f t="shared" si="129"/>
        <v>0</v>
      </c>
      <c r="I2043" s="792">
        <f t="shared" si="130"/>
        <v>0</v>
      </c>
      <c r="J2043" s="792"/>
      <c r="K2043" s="812"/>
      <c r="L2043" s="796"/>
      <c r="M2043" s="812"/>
      <c r="N2043" s="796"/>
      <c r="O2043" s="796"/>
    </row>
    <row r="2044" spans="3:15">
      <c r="C2044" s="788">
        <f>IF(D1984="","-",+C2043+1)</f>
        <v>2073</v>
      </c>
      <c r="D2044" s="736">
        <f t="shared" si="126"/>
        <v>0</v>
      </c>
      <c r="E2044" s="789">
        <f t="shared" si="131"/>
        <v>0</v>
      </c>
      <c r="F2044" s="736">
        <f t="shared" si="127"/>
        <v>0</v>
      </c>
      <c r="G2044" s="794">
        <f t="shared" si="128"/>
        <v>0</v>
      </c>
      <c r="H2044" s="795">
        <f t="shared" si="129"/>
        <v>0</v>
      </c>
      <c r="I2044" s="792">
        <f t="shared" si="130"/>
        <v>0</v>
      </c>
      <c r="J2044" s="792"/>
      <c r="K2044" s="812"/>
      <c r="L2044" s="796"/>
      <c r="M2044" s="812"/>
      <c r="N2044" s="796"/>
      <c r="O2044" s="796"/>
    </row>
    <row r="2045" spans="3:15">
      <c r="C2045" s="788">
        <f>IF(D1984="","-",+C2044+1)</f>
        <v>2074</v>
      </c>
      <c r="D2045" s="736">
        <f t="shared" si="126"/>
        <v>0</v>
      </c>
      <c r="E2045" s="789">
        <f t="shared" si="131"/>
        <v>0</v>
      </c>
      <c r="F2045" s="736">
        <f t="shared" si="127"/>
        <v>0</v>
      </c>
      <c r="G2045" s="794">
        <f t="shared" si="128"/>
        <v>0</v>
      </c>
      <c r="H2045" s="795">
        <f t="shared" si="129"/>
        <v>0</v>
      </c>
      <c r="I2045" s="792">
        <f t="shared" si="130"/>
        <v>0</v>
      </c>
      <c r="J2045" s="792"/>
      <c r="K2045" s="812"/>
      <c r="L2045" s="796"/>
      <c r="M2045" s="812"/>
      <c r="N2045" s="796"/>
      <c r="O2045" s="796"/>
    </row>
    <row r="2046" spans="3:15">
      <c r="C2046" s="788">
        <f>IF(D1984="","-",+C2045+1)</f>
        <v>2075</v>
      </c>
      <c r="D2046" s="736">
        <f t="shared" si="126"/>
        <v>0</v>
      </c>
      <c r="E2046" s="789">
        <f t="shared" si="131"/>
        <v>0</v>
      </c>
      <c r="F2046" s="736">
        <f t="shared" si="127"/>
        <v>0</v>
      </c>
      <c r="G2046" s="794">
        <f t="shared" si="128"/>
        <v>0</v>
      </c>
      <c r="H2046" s="795">
        <f t="shared" si="129"/>
        <v>0</v>
      </c>
      <c r="I2046" s="792">
        <f t="shared" si="130"/>
        <v>0</v>
      </c>
      <c r="J2046" s="792"/>
      <c r="K2046" s="812"/>
      <c r="L2046" s="796"/>
      <c r="M2046" s="812"/>
      <c r="N2046" s="796"/>
      <c r="O2046" s="796"/>
    </row>
    <row r="2047" spans="3:15">
      <c r="C2047" s="788">
        <f>IF(D1984="","-",+C2046+1)</f>
        <v>2076</v>
      </c>
      <c r="D2047" s="736">
        <f t="shared" si="126"/>
        <v>0</v>
      </c>
      <c r="E2047" s="789">
        <f t="shared" si="131"/>
        <v>0</v>
      </c>
      <c r="F2047" s="736">
        <f t="shared" si="127"/>
        <v>0</v>
      </c>
      <c r="G2047" s="794">
        <f t="shared" si="128"/>
        <v>0</v>
      </c>
      <c r="H2047" s="795">
        <f t="shared" si="129"/>
        <v>0</v>
      </c>
      <c r="I2047" s="792">
        <f t="shared" si="130"/>
        <v>0</v>
      </c>
      <c r="J2047" s="792"/>
      <c r="K2047" s="812"/>
      <c r="L2047" s="796"/>
      <c r="M2047" s="812"/>
      <c r="N2047" s="796"/>
      <c r="O2047" s="796"/>
    </row>
    <row r="2048" spans="3:15">
      <c r="C2048" s="788">
        <f>IF(D1984="","-",+C2047+1)</f>
        <v>2077</v>
      </c>
      <c r="D2048" s="736">
        <f t="shared" si="126"/>
        <v>0</v>
      </c>
      <c r="E2048" s="789">
        <f t="shared" si="131"/>
        <v>0</v>
      </c>
      <c r="F2048" s="736">
        <f t="shared" si="127"/>
        <v>0</v>
      </c>
      <c r="G2048" s="794">
        <f t="shared" si="128"/>
        <v>0</v>
      </c>
      <c r="H2048" s="795">
        <f t="shared" si="129"/>
        <v>0</v>
      </c>
      <c r="I2048" s="792">
        <f t="shared" si="130"/>
        <v>0</v>
      </c>
      <c r="J2048" s="792"/>
      <c r="K2048" s="812"/>
      <c r="L2048" s="796"/>
      <c r="M2048" s="812"/>
      <c r="N2048" s="796"/>
      <c r="O2048" s="796"/>
    </row>
    <row r="2049" spans="3:15" ht="13.5" thickBot="1">
      <c r="C2049" s="798">
        <f>IF(D1984="","-",+C2048+1)</f>
        <v>2078</v>
      </c>
      <c r="D2049" s="799">
        <f t="shared" si="126"/>
        <v>0</v>
      </c>
      <c r="E2049" s="800">
        <f t="shared" si="131"/>
        <v>0</v>
      </c>
      <c r="F2049" s="799">
        <f t="shared" si="127"/>
        <v>0</v>
      </c>
      <c r="G2049" s="801">
        <f t="shared" si="128"/>
        <v>0</v>
      </c>
      <c r="H2049" s="801">
        <f t="shared" si="129"/>
        <v>0</v>
      </c>
      <c r="I2049" s="802">
        <f t="shared" si="130"/>
        <v>0</v>
      </c>
      <c r="J2049" s="792"/>
      <c r="K2049" s="813"/>
      <c r="L2049" s="803"/>
      <c r="M2049" s="813"/>
      <c r="N2049" s="803"/>
      <c r="O2049" s="803"/>
    </row>
    <row r="2050" spans="3:15">
      <c r="C2050" s="736" t="s">
        <v>83</v>
      </c>
      <c r="D2050" s="730"/>
      <c r="E2050" s="730">
        <f>SUM(E1990:E2049)</f>
        <v>2228865</v>
      </c>
      <c r="F2050" s="730"/>
      <c r="G2050" s="730">
        <f>SUM(G1990:G2049)</f>
        <v>8026296.6208764352</v>
      </c>
      <c r="H2050" s="730">
        <f>SUM(H1990:H2049)</f>
        <v>8026296.6208764352</v>
      </c>
      <c r="I2050" s="730">
        <f>SUM(I1990:I2049)</f>
        <v>0</v>
      </c>
      <c r="J2050" s="730"/>
      <c r="K2050" s="730"/>
      <c r="L2050" s="730"/>
      <c r="M2050" s="730"/>
      <c r="N2050" s="730"/>
      <c r="O2050" s="313"/>
    </row>
    <row r="2051" spans="3:15">
      <c r="D2051" s="538"/>
      <c r="E2051" s="313"/>
      <c r="F2051" s="313"/>
      <c r="G2051" s="313"/>
      <c r="H2051" s="708"/>
      <c r="I2051" s="708"/>
      <c r="J2051" s="730"/>
      <c r="K2051" s="708"/>
      <c r="L2051" s="708"/>
      <c r="M2051" s="708"/>
      <c r="N2051" s="708"/>
      <c r="O2051" s="313"/>
    </row>
    <row r="2052" spans="3:15">
      <c r="C2052" s="313" t="s">
        <v>13</v>
      </c>
      <c r="D2052" s="538"/>
      <c r="E2052" s="313"/>
      <c r="F2052" s="313"/>
      <c r="G2052" s="313"/>
      <c r="H2052" s="708"/>
      <c r="I2052" s="708"/>
      <c r="J2052" s="730"/>
      <c r="K2052" s="708"/>
      <c r="L2052" s="708"/>
      <c r="M2052" s="708"/>
      <c r="N2052" s="708"/>
      <c r="O2052" s="313"/>
    </row>
    <row r="2053" spans="3:15">
      <c r="C2053" s="313"/>
      <c r="D2053" s="538"/>
      <c r="E2053" s="313"/>
      <c r="F2053" s="313"/>
      <c r="G2053" s="313"/>
      <c r="H2053" s="708"/>
      <c r="I2053" s="708"/>
      <c r="J2053" s="730"/>
      <c r="K2053" s="708"/>
      <c r="L2053" s="708"/>
      <c r="M2053" s="708"/>
      <c r="N2053" s="708"/>
      <c r="O2053" s="313"/>
    </row>
    <row r="2054" spans="3:15">
      <c r="C2054" s="749" t="s">
        <v>14</v>
      </c>
      <c r="D2054" s="736"/>
      <c r="E2054" s="736"/>
      <c r="F2054" s="736"/>
      <c r="G2054" s="730"/>
      <c r="H2054" s="730"/>
      <c r="I2054" s="804"/>
      <c r="J2054" s="804"/>
      <c r="K2054" s="804"/>
      <c r="L2054" s="804"/>
      <c r="M2054" s="804"/>
      <c r="N2054" s="804"/>
      <c r="O2054" s="313"/>
    </row>
    <row r="2055" spans="3:15">
      <c r="C2055" s="735" t="s">
        <v>263</v>
      </c>
      <c r="D2055" s="736"/>
      <c r="E2055" s="736"/>
      <c r="F2055" s="736"/>
      <c r="G2055" s="730"/>
      <c r="H2055" s="730"/>
      <c r="I2055" s="804"/>
      <c r="J2055" s="804"/>
      <c r="K2055" s="804"/>
      <c r="L2055" s="804"/>
      <c r="M2055" s="804"/>
      <c r="N2055" s="804"/>
      <c r="O2055" s="313"/>
    </row>
    <row r="2056" spans="3:15">
      <c r="C2056" s="735" t="s">
        <v>84</v>
      </c>
      <c r="D2056" s="736"/>
      <c r="E2056" s="736"/>
      <c r="F2056" s="736"/>
      <c r="G2056" s="730"/>
      <c r="H2056" s="730"/>
      <c r="I2056" s="804"/>
      <c r="J2056" s="804"/>
      <c r="K2056" s="804"/>
      <c r="L2056" s="804"/>
      <c r="M2056" s="804"/>
      <c r="N2056" s="804"/>
      <c r="O2056" s="313"/>
    </row>
    <row r="2057" spans="3:15">
      <c r="C2057" s="735"/>
      <c r="D2057" s="736"/>
      <c r="E2057" s="736"/>
      <c r="F2057" s="736"/>
      <c r="G2057" s="730"/>
      <c r="H2057" s="730"/>
      <c r="I2057" s="804"/>
      <c r="J2057" s="804"/>
      <c r="K2057" s="804"/>
      <c r="L2057" s="804"/>
      <c r="M2057" s="804"/>
      <c r="N2057" s="804"/>
      <c r="O2057" s="313"/>
    </row>
    <row r="2058" spans="3:15">
      <c r="C2058" s="1547" t="s">
        <v>6</v>
      </c>
      <c r="D2058" s="1547"/>
      <c r="E2058" s="1547"/>
      <c r="F2058" s="1547"/>
      <c r="G2058" s="1547"/>
      <c r="H2058" s="1547"/>
      <c r="I2058" s="1547"/>
      <c r="J2058" s="1547"/>
      <c r="K2058" s="1547"/>
      <c r="L2058" s="1547"/>
      <c r="M2058" s="1547"/>
      <c r="N2058" s="1547"/>
      <c r="O2058" s="1547"/>
    </row>
    <row r="2059" spans="3:15">
      <c r="C2059" s="1547"/>
      <c r="D2059" s="1547"/>
      <c r="E2059" s="1547"/>
      <c r="F2059" s="1547"/>
      <c r="G2059" s="1547"/>
      <c r="H2059" s="1547"/>
      <c r="I2059" s="1547"/>
      <c r="J2059" s="1547"/>
      <c r="K2059" s="1547"/>
      <c r="L2059" s="1547"/>
      <c r="M2059" s="1547"/>
      <c r="N2059" s="1547"/>
      <c r="O2059" s="1547"/>
    </row>
  </sheetData>
  <mergeCells count="73">
    <mergeCell ref="C1789:O1790"/>
    <mergeCell ref="D1979:I1979"/>
    <mergeCell ref="K1983:O1983"/>
    <mergeCell ref="C2058:O2059"/>
    <mergeCell ref="D1800:I1800"/>
    <mergeCell ref="K1804:O1804"/>
    <mergeCell ref="C1879:O1880"/>
    <mergeCell ref="D1890:I1890"/>
    <mergeCell ref="K1894:O1894"/>
    <mergeCell ref="C1969:O1970"/>
    <mergeCell ref="D1620:I1620"/>
    <mergeCell ref="K1624:O1624"/>
    <mergeCell ref="C1699:O1700"/>
    <mergeCell ref="D1710:I1710"/>
    <mergeCell ref="K1714:O1714"/>
    <mergeCell ref="K1444:O1444"/>
    <mergeCell ref="C1519:O1520"/>
    <mergeCell ref="K1534:O1534"/>
    <mergeCell ref="C1609:O1610"/>
    <mergeCell ref="D1440:I1441"/>
    <mergeCell ref="D1530:I1531"/>
    <mergeCell ref="K1354:O1354"/>
    <mergeCell ref="C1429:O1430"/>
    <mergeCell ref="D540:I541"/>
    <mergeCell ref="D630:I631"/>
    <mergeCell ref="D1260:I1261"/>
    <mergeCell ref="D1350:I1351"/>
    <mergeCell ref="D1170:I1170"/>
    <mergeCell ref="K1174:O1174"/>
    <mergeCell ref="C1249:O1250"/>
    <mergeCell ref="K1264:O1264"/>
    <mergeCell ref="C1339:O1340"/>
    <mergeCell ref="D990:I990"/>
    <mergeCell ref="K994:O994"/>
    <mergeCell ref="C1069:O1070"/>
    <mergeCell ref="D1080:I1080"/>
    <mergeCell ref="K1084:O1084"/>
    <mergeCell ref="C1159:O1160"/>
    <mergeCell ref="D900:I900"/>
    <mergeCell ref="K904:O904"/>
    <mergeCell ref="C979:O980"/>
    <mergeCell ref="D720:I720"/>
    <mergeCell ref="K724:O724"/>
    <mergeCell ref="C799:O800"/>
    <mergeCell ref="D810:I810"/>
    <mergeCell ref="K814:O814"/>
    <mergeCell ref="C889:O890"/>
    <mergeCell ref="K544:O544"/>
    <mergeCell ref="C619:O620"/>
    <mergeCell ref="K634:O634"/>
    <mergeCell ref="C709:O710"/>
    <mergeCell ref="K364:O364"/>
    <mergeCell ref="C439:O440"/>
    <mergeCell ref="D450:I450"/>
    <mergeCell ref="K454:O454"/>
    <mergeCell ref="C529:O530"/>
    <mergeCell ref="D360:I361"/>
    <mergeCell ref="D180:I180"/>
    <mergeCell ref="K184:O184"/>
    <mergeCell ref="C259:O260"/>
    <mergeCell ref="D270:I270"/>
    <mergeCell ref="K274:O274"/>
    <mergeCell ref="C349:O35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31" priority="32" stopIfTrue="1" operator="equal">
      <formula>$I$92</formula>
    </cfRule>
  </conditionalFormatting>
  <conditionalFormatting sqref="C191:C250">
    <cfRule type="cellIs" dxfId="30" priority="21" stopIfTrue="1" operator="equal">
      <formula>$I$92</formula>
    </cfRule>
  </conditionalFormatting>
  <conditionalFormatting sqref="C281:C340">
    <cfRule type="cellIs" dxfId="29" priority="20" stopIfTrue="1" operator="equal">
      <formula>$I$92</formula>
    </cfRule>
  </conditionalFormatting>
  <conditionalFormatting sqref="C371:C430">
    <cfRule type="cellIs" dxfId="28" priority="19" stopIfTrue="1" operator="equal">
      <formula>$I$92</formula>
    </cfRule>
  </conditionalFormatting>
  <conditionalFormatting sqref="C461:C520">
    <cfRule type="cellIs" dxfId="27" priority="18" stopIfTrue="1" operator="equal">
      <formula>$I$92</formula>
    </cfRule>
  </conditionalFormatting>
  <conditionalFormatting sqref="C551:C610">
    <cfRule type="cellIs" dxfId="26" priority="17" stopIfTrue="1" operator="equal">
      <formula>$I$92</formula>
    </cfRule>
  </conditionalFormatting>
  <conditionalFormatting sqref="C641:C700">
    <cfRule type="cellIs" dxfId="25" priority="16" stopIfTrue="1" operator="equal">
      <formula>$I$92</formula>
    </cfRule>
  </conditionalFormatting>
  <conditionalFormatting sqref="C731:C790">
    <cfRule type="cellIs" dxfId="24" priority="15" stopIfTrue="1" operator="equal">
      <formula>$I$92</formula>
    </cfRule>
  </conditionalFormatting>
  <conditionalFormatting sqref="C821:C880">
    <cfRule type="cellIs" dxfId="23" priority="14" stopIfTrue="1" operator="equal">
      <formula>$I$92</formula>
    </cfRule>
  </conditionalFormatting>
  <conditionalFormatting sqref="C911:C970">
    <cfRule type="cellIs" dxfId="22" priority="13" stopIfTrue="1" operator="equal">
      <formula>$I$92</formula>
    </cfRule>
  </conditionalFormatting>
  <conditionalFormatting sqref="C1001:C1060">
    <cfRule type="cellIs" dxfId="21" priority="12" stopIfTrue="1" operator="equal">
      <formula>$I$92</formula>
    </cfRule>
  </conditionalFormatting>
  <conditionalFormatting sqref="C1091:C1150">
    <cfRule type="cellIs" dxfId="20" priority="11" stopIfTrue="1" operator="equal">
      <formula>$I$92</formula>
    </cfRule>
  </conditionalFormatting>
  <conditionalFormatting sqref="C1181:C1240">
    <cfRule type="cellIs" dxfId="19" priority="10" stopIfTrue="1" operator="equal">
      <formula>$I$92</formula>
    </cfRule>
  </conditionalFormatting>
  <conditionalFormatting sqref="C1271:C1330">
    <cfRule type="cellIs" dxfId="18" priority="9" stopIfTrue="1" operator="equal">
      <formula>$I$92</formula>
    </cfRule>
  </conditionalFormatting>
  <conditionalFormatting sqref="C1361:C1420">
    <cfRule type="cellIs" dxfId="17" priority="8" stopIfTrue="1" operator="equal">
      <formula>$I$92</formula>
    </cfRule>
  </conditionalFormatting>
  <conditionalFormatting sqref="C1451:C1510">
    <cfRule type="cellIs" dxfId="16" priority="7" stopIfTrue="1" operator="equal">
      <formula>$I$92</formula>
    </cfRule>
  </conditionalFormatting>
  <conditionalFormatting sqref="C1541:C1600">
    <cfRule type="cellIs" dxfId="15" priority="6" stopIfTrue="1" operator="equal">
      <formula>$I$92</formula>
    </cfRule>
  </conditionalFormatting>
  <conditionalFormatting sqref="C1631:C1690">
    <cfRule type="cellIs" dxfId="14" priority="5" stopIfTrue="1" operator="equal">
      <formula>$I$92</formula>
    </cfRule>
  </conditionalFormatting>
  <conditionalFormatting sqref="C1721:C1780">
    <cfRule type="cellIs" dxfId="13" priority="4" stopIfTrue="1" operator="equal">
      <formula>$I$92</formula>
    </cfRule>
  </conditionalFormatting>
  <conditionalFormatting sqref="C1811:C1870">
    <cfRule type="cellIs" dxfId="12" priority="3" stopIfTrue="1" operator="equal">
      <formula>$I$92</formula>
    </cfRule>
  </conditionalFormatting>
  <conditionalFormatting sqref="C1901:C1960">
    <cfRule type="cellIs" dxfId="11" priority="2" stopIfTrue="1" operator="equal">
      <formula>$I$92</formula>
    </cfRule>
  </conditionalFormatting>
  <conditionalFormatting sqref="C1990:C2049">
    <cfRule type="cellIs" dxfId="10"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22" manualBreakCount="22">
    <brk id="80" max="14" man="1"/>
    <brk id="171" max="14" man="1"/>
    <brk id="261" max="14" man="1"/>
    <brk id="351" max="14" man="1"/>
    <brk id="441" max="14" man="1"/>
    <brk id="531" max="14" man="1"/>
    <brk id="621" max="14" man="1"/>
    <brk id="711" max="14" man="1"/>
    <brk id="801" max="14" man="1"/>
    <brk id="891" max="14" man="1"/>
    <brk id="981" max="14" man="1"/>
    <brk id="1071" max="14" man="1"/>
    <brk id="1161" max="14" man="1"/>
    <brk id="1251" max="14" man="1"/>
    <brk id="1341" max="14" man="1"/>
    <brk id="1431" max="14" man="1"/>
    <brk id="1521" max="14" man="1"/>
    <brk id="1611" max="14" man="1"/>
    <brk id="1701" max="14" man="1"/>
    <brk id="1791" max="14" man="1"/>
    <brk id="1881" max="14" man="1"/>
    <brk id="1970"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E10"/>
  <sheetViews>
    <sheetView zoomScaleNormal="75" workbookViewId="0">
      <selection activeCell="N42" sqref="N4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92" t="s">
        <v>408</v>
      </c>
    </row>
    <row r="2" spans="1:5" ht="15.75">
      <c r="A2" s="992" t="s">
        <v>408</v>
      </c>
    </row>
    <row r="3" spans="1:5" ht="15">
      <c r="B3" s="1492" t="str">
        <f>TCOS!$F$5</f>
        <v>AEPTCo subsidiaries in PJM</v>
      </c>
      <c r="C3" s="1492" t="str">
        <f>TCOS!$F$5</f>
        <v>AEPTCo subsidiaries in PJM</v>
      </c>
      <c r="D3" s="1492" t="str">
        <f>TCOS!$F$5</f>
        <v>AEPTCo subsidiaries in PJM</v>
      </c>
      <c r="E3" s="1492" t="str">
        <f>TCOS!$F$5</f>
        <v>AEPTCo subsidiaries in PJM</v>
      </c>
    </row>
    <row r="4" spans="1:5" ht="15">
      <c r="B4" s="1485" t="str">
        <f>"Cost of Service Formula Rate Using Actual/Projected FF1 Balances"</f>
        <v>Cost of Service Formula Rate Using Actual/Projected FF1 Balances</v>
      </c>
      <c r="C4" s="1485"/>
      <c r="D4" s="1485"/>
      <c r="E4" s="1485"/>
    </row>
    <row r="5" spans="1:5" ht="15">
      <c r="B5" s="1492" t="s">
        <v>591</v>
      </c>
      <c r="C5" s="1492"/>
      <c r="D5" s="1492"/>
      <c r="E5" s="1492"/>
    </row>
    <row r="6" spans="1:5" ht="15">
      <c r="B6" s="1495" t="str">
        <f>+TCOS!F9</f>
        <v>AEP Ohio Transmission Company</v>
      </c>
      <c r="C6" s="1492"/>
      <c r="D6" s="1492"/>
      <c r="E6" s="1492"/>
    </row>
    <row r="8" spans="1:5" ht="18.75" customHeight="1">
      <c r="B8" s="8" t="s">
        <v>408</v>
      </c>
      <c r="C8" s="76"/>
      <c r="D8" s="91"/>
    </row>
    <row r="9" spans="1:5">
      <c r="B9" s="90"/>
      <c r="C9" s="76"/>
      <c r="D9" s="91"/>
    </row>
    <row r="10" spans="1:5">
      <c r="B10" s="92" t="s">
        <v>555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76"/>
  <sheetViews>
    <sheetView zoomScale="90" zoomScaleNormal="90" zoomScaleSheetLayoutView="70" workbookViewId="0">
      <selection activeCell="E49" sqref="E49"/>
    </sheetView>
  </sheetViews>
  <sheetFormatPr defaultColWidth="11.42578125" defaultRowHeight="12.75"/>
  <cols>
    <col min="1" max="1" width="10.28515625" style="1170" customWidth="1"/>
    <col min="2" max="2" width="52.28515625" style="1143" customWidth="1"/>
    <col min="3" max="7" width="20.28515625" style="1143" customWidth="1"/>
    <col min="8" max="8" width="23" style="1143" customWidth="1"/>
    <col min="9" max="11" width="20.28515625" style="1143" customWidth="1"/>
    <col min="12" max="12" width="20" style="1143" customWidth="1"/>
    <col min="13" max="14" width="15.140625" style="1143" customWidth="1"/>
    <col min="15" max="16384" width="11.42578125" style="1143"/>
  </cols>
  <sheetData>
    <row r="1" spans="1:12" ht="15">
      <c r="A1" s="1559" t="str">
        <f>TCOS!F5</f>
        <v>AEPTCo subsidiaries in PJM</v>
      </c>
      <c r="B1" s="1559" t="s">
        <v>321</v>
      </c>
      <c r="C1" s="1559" t="s">
        <v>321</v>
      </c>
      <c r="D1" s="1559" t="s">
        <v>321</v>
      </c>
      <c r="E1" s="1559" t="s">
        <v>321</v>
      </c>
      <c r="F1" s="1559" t="s">
        <v>321</v>
      </c>
      <c r="G1" s="1559" t="s">
        <v>321</v>
      </c>
      <c r="H1" s="1142"/>
    </row>
    <row r="2" spans="1:12" ht="15">
      <c r="A2" s="1485" t="str">
        <f>"Cost of Service Formula Rate Using Actual/Projected FF1 Balances"</f>
        <v>Cost of Service Formula Rate Using Actual/Projected FF1 Balances</v>
      </c>
      <c r="B2" s="1485"/>
      <c r="C2" s="1485"/>
      <c r="D2" s="1485"/>
      <c r="E2" s="1485"/>
      <c r="F2" s="1485"/>
      <c r="G2" s="1485"/>
      <c r="H2" s="1144"/>
      <c r="I2" s="1144"/>
      <c r="J2" s="1144"/>
      <c r="L2" s="1145"/>
    </row>
    <row r="3" spans="1:12" ht="15">
      <c r="A3" s="1485" t="s">
        <v>729</v>
      </c>
      <c r="B3" s="1485"/>
      <c r="C3" s="1485"/>
      <c r="D3" s="1485"/>
      <c r="E3" s="1485"/>
      <c r="F3" s="1485"/>
      <c r="G3" s="1485"/>
      <c r="H3" s="1144"/>
      <c r="I3" s="1144"/>
      <c r="J3" s="1144"/>
    </row>
    <row r="4" spans="1:12" ht="15">
      <c r="A4" s="1491" t="str">
        <f>TCOS!F9</f>
        <v>AEP Ohio Transmission Company</v>
      </c>
      <c r="B4" s="1491"/>
      <c r="C4" s="1491"/>
      <c r="D4" s="1491"/>
      <c r="E4" s="1491"/>
      <c r="F4" s="1491"/>
      <c r="G4" s="1491"/>
      <c r="H4" s="1144"/>
      <c r="I4" s="1144"/>
      <c r="J4" s="1144"/>
    </row>
    <row r="5" spans="1:12">
      <c r="A5" s="1144"/>
      <c r="B5" s="1146"/>
      <c r="C5" s="1146"/>
      <c r="D5" s="1146"/>
      <c r="E5" s="1147"/>
      <c r="F5" s="1148"/>
      <c r="H5" s="1002"/>
      <c r="I5" s="1002"/>
      <c r="J5" s="1002"/>
      <c r="K5" s="1002"/>
      <c r="L5" s="1002"/>
    </row>
    <row r="6" spans="1:12" ht="12.75" customHeight="1">
      <c r="A6" s="1142"/>
      <c r="B6" s="1062"/>
      <c r="C6" s="1486" t="s">
        <v>331</v>
      </c>
      <c r="D6" s="1487"/>
      <c r="E6" s="1487"/>
      <c r="F6" s="1487"/>
      <c r="G6" s="1488"/>
      <c r="H6" s="1149"/>
      <c r="I6" s="1002"/>
      <c r="J6" s="1002"/>
      <c r="K6" s="1002"/>
      <c r="L6" s="1002"/>
    </row>
    <row r="7" spans="1:12" s="1152" customFormat="1" ht="38.25">
      <c r="A7" s="1150" t="s">
        <v>697</v>
      </c>
      <c r="B7" s="1067" t="s">
        <v>698</v>
      </c>
      <c r="C7" s="1096" t="s">
        <v>730</v>
      </c>
      <c r="D7" s="1068" t="s">
        <v>163</v>
      </c>
      <c r="E7" s="1068" t="s">
        <v>731</v>
      </c>
      <c r="F7" s="1068" t="s">
        <v>732</v>
      </c>
      <c r="G7" s="1151" t="s">
        <v>331</v>
      </c>
      <c r="H7" s="1149"/>
      <c r="I7" s="1002"/>
      <c r="J7" s="1002"/>
      <c r="K7" s="1002"/>
      <c r="L7" s="1002"/>
    </row>
    <row r="8" spans="1:12" s="1155" customFormat="1">
      <c r="A8" s="1153"/>
      <c r="B8" s="1072" t="s">
        <v>702</v>
      </c>
      <c r="C8" s="1097" t="s">
        <v>720</v>
      </c>
      <c r="D8" s="1073" t="s">
        <v>721</v>
      </c>
      <c r="E8" s="1073" t="s">
        <v>703</v>
      </c>
      <c r="F8" s="1073" t="s">
        <v>704</v>
      </c>
      <c r="G8" s="1154" t="s">
        <v>733</v>
      </c>
      <c r="H8" s="1149"/>
      <c r="I8" s="1002"/>
      <c r="J8" s="1002"/>
      <c r="K8" s="1002"/>
      <c r="L8" s="1002"/>
    </row>
    <row r="9" spans="1:12" s="1155" customFormat="1" ht="44.25" customHeight="1">
      <c r="A9" s="1153"/>
      <c r="B9" s="1072" t="s">
        <v>708</v>
      </c>
      <c r="C9" s="1156" t="s">
        <v>734</v>
      </c>
      <c r="D9" s="1076" t="s">
        <v>735</v>
      </c>
      <c r="E9" s="1076" t="s">
        <v>736</v>
      </c>
      <c r="F9" s="1076" t="s">
        <v>737</v>
      </c>
      <c r="G9" s="1157"/>
      <c r="H9" s="1149"/>
      <c r="I9" s="1002"/>
      <c r="J9" s="1002"/>
      <c r="K9" s="1002"/>
      <c r="L9" s="1002"/>
    </row>
    <row r="10" spans="1:12">
      <c r="A10" s="1153">
        <v>1</v>
      </c>
      <c r="B10" s="1078" t="s">
        <v>709</v>
      </c>
      <c r="C10" s="1158">
        <v>2471966540.7110004</v>
      </c>
      <c r="D10" s="1158">
        <v>0</v>
      </c>
      <c r="E10" s="1158">
        <v>0</v>
      </c>
      <c r="F10" s="1158">
        <v>0</v>
      </c>
      <c r="G10" s="1159">
        <f>+C10-D10-E10-F10</f>
        <v>2471966540.7110004</v>
      </c>
      <c r="H10" s="1149"/>
      <c r="I10" s="1002"/>
      <c r="J10" s="1002"/>
      <c r="K10" s="1002"/>
      <c r="L10" s="1002"/>
    </row>
    <row r="11" spans="1:12">
      <c r="A11" s="1153">
        <f>+A10+1</f>
        <v>2</v>
      </c>
      <c r="B11" s="1078" t="s">
        <v>568</v>
      </c>
      <c r="C11" s="1158">
        <v>2496178381.1690001</v>
      </c>
      <c r="D11" s="1158">
        <v>0</v>
      </c>
      <c r="E11" s="1158">
        <v>0</v>
      </c>
      <c r="F11" s="1158">
        <v>0</v>
      </c>
      <c r="G11" s="1159">
        <f t="shared" ref="G11:G22" si="0">+C11-D11-E11-F11</f>
        <v>2496178381.1690001</v>
      </c>
      <c r="H11" s="1149"/>
      <c r="I11" s="1002"/>
      <c r="J11" s="1002"/>
      <c r="K11" s="1002"/>
      <c r="L11" s="1002"/>
    </row>
    <row r="12" spans="1:12">
      <c r="A12" s="1153">
        <f t="shared" ref="A12:A23" si="1">+A11+1</f>
        <v>3</v>
      </c>
      <c r="B12" s="1079" t="s">
        <v>569</v>
      </c>
      <c r="C12" s="1158">
        <v>2515545734.1809998</v>
      </c>
      <c r="D12" s="1158">
        <v>0</v>
      </c>
      <c r="E12" s="1158">
        <v>0</v>
      </c>
      <c r="F12" s="1158">
        <v>0</v>
      </c>
      <c r="G12" s="1159">
        <f t="shared" si="0"/>
        <v>2515545734.1809998</v>
      </c>
      <c r="H12" s="1149"/>
      <c r="I12" s="1002"/>
      <c r="J12" s="1002"/>
      <c r="K12" s="1002"/>
      <c r="L12" s="1002"/>
    </row>
    <row r="13" spans="1:12">
      <c r="A13" s="1153">
        <f t="shared" si="1"/>
        <v>4</v>
      </c>
      <c r="B13" s="1079" t="s">
        <v>710</v>
      </c>
      <c r="C13" s="1158">
        <v>2537083343.6129994</v>
      </c>
      <c r="D13" s="1158">
        <v>0</v>
      </c>
      <c r="E13" s="1158">
        <v>0</v>
      </c>
      <c r="F13" s="1158">
        <v>0</v>
      </c>
      <c r="G13" s="1159">
        <f t="shared" si="0"/>
        <v>2537083343.6129994</v>
      </c>
      <c r="H13" s="1149"/>
      <c r="I13" s="1002"/>
      <c r="J13" s="1002"/>
      <c r="K13" s="1002"/>
      <c r="L13" s="1002"/>
    </row>
    <row r="14" spans="1:12">
      <c r="A14" s="1153">
        <f t="shared" si="1"/>
        <v>5</v>
      </c>
      <c r="B14" s="1079" t="s">
        <v>571</v>
      </c>
      <c r="C14" s="1158">
        <v>2557833392.9129996</v>
      </c>
      <c r="D14" s="1158">
        <v>0</v>
      </c>
      <c r="E14" s="1158">
        <v>0</v>
      </c>
      <c r="F14" s="1158">
        <v>0</v>
      </c>
      <c r="G14" s="1159">
        <f t="shared" si="0"/>
        <v>2557833392.9129996</v>
      </c>
      <c r="H14" s="1149"/>
      <c r="I14" s="1002"/>
      <c r="J14" s="1002"/>
      <c r="K14" s="1002"/>
      <c r="L14" s="1002"/>
    </row>
    <row r="15" spans="1:12">
      <c r="A15" s="1153">
        <f t="shared" si="1"/>
        <v>6</v>
      </c>
      <c r="B15" s="1079" t="s">
        <v>572</v>
      </c>
      <c r="C15" s="1158">
        <v>2553468335.3010001</v>
      </c>
      <c r="D15" s="1158">
        <v>0</v>
      </c>
      <c r="E15" s="1158">
        <v>0</v>
      </c>
      <c r="F15" s="1158">
        <v>0</v>
      </c>
      <c r="G15" s="1159">
        <f t="shared" si="0"/>
        <v>2553468335.3010001</v>
      </c>
      <c r="H15" s="1149"/>
      <c r="I15" s="1002"/>
      <c r="J15" s="1002"/>
      <c r="K15" s="1002"/>
      <c r="L15" s="1002"/>
    </row>
    <row r="16" spans="1:12">
      <c r="A16" s="1153">
        <f t="shared" si="1"/>
        <v>7</v>
      </c>
      <c r="B16" s="1079" t="s">
        <v>573</v>
      </c>
      <c r="C16" s="1158">
        <v>2577070141.3280001</v>
      </c>
      <c r="D16" s="1158">
        <v>0</v>
      </c>
      <c r="E16" s="1158">
        <v>0</v>
      </c>
      <c r="F16" s="1158">
        <v>0</v>
      </c>
      <c r="G16" s="1159">
        <f t="shared" si="0"/>
        <v>2577070141.3280001</v>
      </c>
      <c r="H16" s="1149"/>
      <c r="I16" s="1002"/>
      <c r="J16" s="1002"/>
      <c r="K16" s="1002"/>
      <c r="L16" s="1002"/>
    </row>
    <row r="17" spans="1:12">
      <c r="A17" s="1153">
        <f t="shared" si="1"/>
        <v>8</v>
      </c>
      <c r="B17" s="1079" t="s">
        <v>574</v>
      </c>
      <c r="C17" s="1158">
        <v>2601030532.2359991</v>
      </c>
      <c r="D17" s="1158">
        <v>0</v>
      </c>
      <c r="E17" s="1158">
        <v>0</v>
      </c>
      <c r="F17" s="1158">
        <v>0</v>
      </c>
      <c r="G17" s="1159">
        <f t="shared" si="0"/>
        <v>2601030532.2359991</v>
      </c>
      <c r="H17" s="1149"/>
      <c r="I17" s="1002"/>
      <c r="J17" s="1002"/>
      <c r="K17" s="1002"/>
      <c r="L17" s="1002"/>
    </row>
    <row r="18" spans="1:12">
      <c r="A18" s="1153">
        <f t="shared" si="1"/>
        <v>9</v>
      </c>
      <c r="B18" s="1079" t="s">
        <v>711</v>
      </c>
      <c r="C18" s="1158">
        <v>2603928980.4880004</v>
      </c>
      <c r="D18" s="1158">
        <v>0</v>
      </c>
      <c r="E18" s="1158">
        <v>0</v>
      </c>
      <c r="F18" s="1158">
        <v>0</v>
      </c>
      <c r="G18" s="1159">
        <f t="shared" si="0"/>
        <v>2603928980.4880004</v>
      </c>
      <c r="H18" s="1149"/>
      <c r="I18" s="1002"/>
      <c r="J18" s="1002"/>
      <c r="K18" s="1002"/>
      <c r="L18" s="1002"/>
    </row>
    <row r="19" spans="1:12">
      <c r="A19" s="1153">
        <f t="shared" si="1"/>
        <v>10</v>
      </c>
      <c r="B19" s="1079" t="s">
        <v>576</v>
      </c>
      <c r="C19" s="1158">
        <v>2627603074.3289995</v>
      </c>
      <c r="D19" s="1158">
        <v>0</v>
      </c>
      <c r="E19" s="1158">
        <v>0</v>
      </c>
      <c r="F19" s="1158">
        <v>0</v>
      </c>
      <c r="G19" s="1159">
        <f t="shared" si="0"/>
        <v>2627603074.3289995</v>
      </c>
      <c r="H19" s="1149"/>
      <c r="I19" s="1002"/>
      <c r="J19" s="1002"/>
      <c r="K19" s="1002"/>
      <c r="L19" s="1002"/>
    </row>
    <row r="20" spans="1:12">
      <c r="A20" s="1153">
        <f t="shared" si="1"/>
        <v>11</v>
      </c>
      <c r="B20" s="1079" t="s">
        <v>577</v>
      </c>
      <c r="C20" s="1158">
        <v>2651843142.4290004</v>
      </c>
      <c r="D20" s="1158">
        <v>0</v>
      </c>
      <c r="E20" s="1158">
        <v>0</v>
      </c>
      <c r="F20" s="1158">
        <v>0</v>
      </c>
      <c r="G20" s="1159">
        <f t="shared" si="0"/>
        <v>2651843142.4290004</v>
      </c>
      <c r="H20" s="1149"/>
      <c r="I20" s="1002"/>
      <c r="J20" s="1002"/>
      <c r="K20" s="1002"/>
      <c r="L20" s="1002"/>
    </row>
    <row r="21" spans="1:12">
      <c r="A21" s="1153">
        <f t="shared" si="1"/>
        <v>12</v>
      </c>
      <c r="B21" s="1079" t="s">
        <v>578</v>
      </c>
      <c r="C21" s="1158">
        <v>2654135477.9390001</v>
      </c>
      <c r="D21" s="1158">
        <v>0</v>
      </c>
      <c r="E21" s="1158">
        <v>0</v>
      </c>
      <c r="F21" s="1158">
        <v>0</v>
      </c>
      <c r="G21" s="1159">
        <f t="shared" si="0"/>
        <v>2654135477.9390001</v>
      </c>
      <c r="H21" s="1149"/>
      <c r="I21" s="1002"/>
      <c r="J21" s="1002"/>
      <c r="K21" s="1002"/>
      <c r="L21" s="1002"/>
    </row>
    <row r="22" spans="1:12">
      <c r="A22" s="1160">
        <f t="shared" si="1"/>
        <v>13</v>
      </c>
      <c r="B22" s="1081" t="s">
        <v>712</v>
      </c>
      <c r="C22" s="1158">
        <v>2641011269.6889992</v>
      </c>
      <c r="D22" s="1158">
        <v>0</v>
      </c>
      <c r="E22" s="1158">
        <v>0</v>
      </c>
      <c r="F22" s="1158">
        <v>0</v>
      </c>
      <c r="G22" s="1159">
        <f t="shared" si="0"/>
        <v>2641011269.6889992</v>
      </c>
      <c r="H22" s="1149"/>
      <c r="I22" s="1002"/>
      <c r="J22" s="1002"/>
      <c r="K22" s="1002"/>
      <c r="L22" s="1002"/>
    </row>
    <row r="23" spans="1:12" ht="13.5" thickBot="1">
      <c r="A23" s="1160">
        <f t="shared" si="1"/>
        <v>14</v>
      </c>
      <c r="B23" s="1082" t="s">
        <v>713</v>
      </c>
      <c r="C23" s="1104">
        <f>SUM(C10:C22)/13</f>
        <v>2576053718.9481535</v>
      </c>
      <c r="D23" s="1083">
        <f>SUM(D10:D22)/13</f>
        <v>0</v>
      </c>
      <c r="E23" s="1083">
        <f>SUM(E10:E22)/13</f>
        <v>0</v>
      </c>
      <c r="F23" s="1083">
        <f>SUM(F10:F22)/13</f>
        <v>0</v>
      </c>
      <c r="G23" s="1161">
        <f>SUM(G10:G22)/13</f>
        <v>2576053718.9481535</v>
      </c>
      <c r="H23" s="1149"/>
      <c r="I23" s="1002"/>
      <c r="J23" s="1002"/>
      <c r="K23" s="1002"/>
      <c r="L23" s="1002"/>
    </row>
    <row r="24" spans="1:12" ht="13.5" thickTop="1">
      <c r="A24" s="1142"/>
      <c r="B24" s="1085"/>
      <c r="C24" s="1086"/>
      <c r="D24" s="1087"/>
      <c r="E24" s="1087"/>
      <c r="F24" s="1087"/>
      <c r="G24" s="1086"/>
      <c r="H24" s="1086"/>
      <c r="I24" s="1002"/>
      <c r="J24" s="1002"/>
      <c r="K24" s="1002"/>
      <c r="L24" s="1002"/>
    </row>
    <row r="25" spans="1:12" ht="12.75" customHeight="1">
      <c r="A25" s="1142"/>
      <c r="B25" s="1062"/>
      <c r="C25" s="1560" t="s">
        <v>534</v>
      </c>
      <c r="D25" s="1561"/>
      <c r="E25" s="1561"/>
      <c r="F25" s="1561"/>
      <c r="G25" s="1561"/>
      <c r="H25" s="1562"/>
      <c r="I25" s="1002"/>
      <c r="J25" s="1002"/>
      <c r="K25" s="1002"/>
      <c r="L25" s="1002"/>
    </row>
    <row r="26" spans="1:12" s="1152" customFormat="1" ht="38.25">
      <c r="A26" s="1150" t="s">
        <v>697</v>
      </c>
      <c r="B26" s="1067" t="s">
        <v>698</v>
      </c>
      <c r="C26" s="1096" t="s">
        <v>738</v>
      </c>
      <c r="D26" s="1068" t="s">
        <v>739</v>
      </c>
      <c r="E26" s="1068" t="s">
        <v>753</v>
      </c>
      <c r="F26" s="1068" t="s">
        <v>754</v>
      </c>
      <c r="G26" s="1068" t="s">
        <v>740</v>
      </c>
      <c r="H26" s="1151" t="s">
        <v>752</v>
      </c>
      <c r="I26" s="1002"/>
      <c r="J26" s="1002"/>
      <c r="K26" s="1002"/>
      <c r="L26" s="1002"/>
    </row>
    <row r="27" spans="1:12" s="1155" customFormat="1">
      <c r="A27" s="1153"/>
      <c r="B27" s="1072" t="s">
        <v>702</v>
      </c>
      <c r="C27" s="1097" t="s">
        <v>720</v>
      </c>
      <c r="D27" s="1073" t="s">
        <v>721</v>
      </c>
      <c r="E27" s="1073" t="s">
        <v>703</v>
      </c>
      <c r="F27" s="1073" t="s">
        <v>704</v>
      </c>
      <c r="G27" s="1073" t="s">
        <v>741</v>
      </c>
      <c r="H27" s="1154" t="s">
        <v>742</v>
      </c>
      <c r="I27" s="1002"/>
      <c r="J27" s="1002"/>
      <c r="K27" s="1002"/>
      <c r="L27" s="1002"/>
    </row>
    <row r="28" spans="1:12" s="1155" customFormat="1" ht="44.25" customHeight="1">
      <c r="A28" s="1153"/>
      <c r="B28" s="1072" t="s">
        <v>708</v>
      </c>
      <c r="C28" s="1156" t="s">
        <v>743</v>
      </c>
      <c r="D28" s="1076" t="s">
        <v>744</v>
      </c>
      <c r="E28" s="1076" t="s">
        <v>745</v>
      </c>
      <c r="F28" s="1076" t="s">
        <v>746</v>
      </c>
      <c r="G28" s="1076" t="s">
        <v>747</v>
      </c>
      <c r="H28" s="1162"/>
      <c r="I28" s="1002"/>
      <c r="J28" s="1002"/>
      <c r="K28" s="1002"/>
      <c r="L28" s="1002"/>
    </row>
    <row r="29" spans="1:12">
      <c r="A29" s="1153">
        <f>+A23+1</f>
        <v>15</v>
      </c>
      <c r="B29" s="1078" t="s">
        <v>709</v>
      </c>
      <c r="C29" s="1158">
        <v>0</v>
      </c>
      <c r="D29" s="1158">
        <v>0</v>
      </c>
      <c r="E29" s="1158">
        <v>1927500000</v>
      </c>
      <c r="F29" s="1158">
        <v>0</v>
      </c>
      <c r="G29" s="1158">
        <v>0</v>
      </c>
      <c r="H29" s="1159">
        <f t="shared" ref="H29:H41" si="2">+C29-D29+E29+F29-G29</f>
        <v>1927500000</v>
      </c>
      <c r="I29" s="1002"/>
      <c r="J29" s="1002"/>
      <c r="K29" s="1002"/>
      <c r="L29" s="1002"/>
    </row>
    <row r="30" spans="1:12">
      <c r="A30" s="1153">
        <f>+A29+1</f>
        <v>16</v>
      </c>
      <c r="B30" s="1078" t="s">
        <v>568</v>
      </c>
      <c r="C30" s="1158">
        <v>0</v>
      </c>
      <c r="D30" s="1158">
        <v>0</v>
      </c>
      <c r="E30" s="1158">
        <v>1927500000</v>
      </c>
      <c r="F30" s="1158">
        <v>0</v>
      </c>
      <c r="G30" s="1158">
        <v>0</v>
      </c>
      <c r="H30" s="1159">
        <f t="shared" si="2"/>
        <v>1927500000</v>
      </c>
      <c r="I30" s="1002"/>
      <c r="J30" s="1002"/>
      <c r="K30" s="1002"/>
      <c r="L30" s="1002"/>
    </row>
    <row r="31" spans="1:12">
      <c r="A31" s="1153">
        <f t="shared" ref="A31:A42" si="3">+A30+1</f>
        <v>17</v>
      </c>
      <c r="B31" s="1079" t="s">
        <v>569</v>
      </c>
      <c r="C31" s="1158">
        <v>0</v>
      </c>
      <c r="D31" s="1158">
        <v>0</v>
      </c>
      <c r="E31" s="1158">
        <v>1927500000</v>
      </c>
      <c r="F31" s="1158">
        <v>0</v>
      </c>
      <c r="G31" s="1158">
        <v>0</v>
      </c>
      <c r="H31" s="1159">
        <f t="shared" si="2"/>
        <v>1927500000</v>
      </c>
      <c r="I31" s="1002"/>
      <c r="J31" s="1002"/>
      <c r="K31" s="1002"/>
      <c r="L31" s="1002"/>
    </row>
    <row r="32" spans="1:12">
      <c r="A32" s="1153">
        <f t="shared" si="3"/>
        <v>18</v>
      </c>
      <c r="B32" s="1079" t="s">
        <v>710</v>
      </c>
      <c r="C32" s="1158">
        <v>0</v>
      </c>
      <c r="D32" s="1158">
        <v>0</v>
      </c>
      <c r="E32" s="1158">
        <v>2197500000</v>
      </c>
      <c r="F32" s="1158">
        <v>0</v>
      </c>
      <c r="G32" s="1158">
        <v>0</v>
      </c>
      <c r="H32" s="1159">
        <f t="shared" si="2"/>
        <v>2197500000</v>
      </c>
      <c r="I32" s="1002"/>
      <c r="J32" s="1002"/>
      <c r="K32" s="1002"/>
      <c r="L32" s="1002"/>
    </row>
    <row r="33" spans="1:12">
      <c r="A33" s="1153">
        <f t="shared" si="3"/>
        <v>19</v>
      </c>
      <c r="B33" s="1079" t="s">
        <v>571</v>
      </c>
      <c r="C33" s="1158">
        <v>0</v>
      </c>
      <c r="D33" s="1158">
        <v>0</v>
      </c>
      <c r="E33" s="1158">
        <v>2197500000</v>
      </c>
      <c r="F33" s="1158">
        <v>0</v>
      </c>
      <c r="G33" s="1158">
        <v>0</v>
      </c>
      <c r="H33" s="1159">
        <f t="shared" si="2"/>
        <v>2197500000</v>
      </c>
      <c r="I33" s="1002"/>
      <c r="J33" s="1002"/>
      <c r="K33" s="1002"/>
      <c r="L33" s="1002"/>
    </row>
    <row r="34" spans="1:12">
      <c r="A34" s="1153">
        <f t="shared" si="3"/>
        <v>20</v>
      </c>
      <c r="B34" s="1079" t="s">
        <v>572</v>
      </c>
      <c r="C34" s="1158">
        <v>0</v>
      </c>
      <c r="D34" s="1158">
        <v>0</v>
      </c>
      <c r="E34" s="1158">
        <v>2197500000</v>
      </c>
      <c r="F34" s="1158">
        <v>0</v>
      </c>
      <c r="G34" s="1158">
        <v>0</v>
      </c>
      <c r="H34" s="1159">
        <f t="shared" si="2"/>
        <v>2197500000</v>
      </c>
      <c r="I34" s="1002"/>
      <c r="J34" s="1002"/>
      <c r="K34" s="1002"/>
      <c r="L34" s="1002"/>
    </row>
    <row r="35" spans="1:12">
      <c r="A35" s="1153">
        <f t="shared" si="3"/>
        <v>21</v>
      </c>
      <c r="B35" s="1079" t="s">
        <v>573</v>
      </c>
      <c r="C35" s="1158">
        <v>0</v>
      </c>
      <c r="D35" s="1158">
        <v>0</v>
      </c>
      <c r="E35" s="1158">
        <v>2197500000</v>
      </c>
      <c r="F35" s="1158">
        <v>0</v>
      </c>
      <c r="G35" s="1158">
        <v>0</v>
      </c>
      <c r="H35" s="1159">
        <f t="shared" si="2"/>
        <v>2197500000</v>
      </c>
      <c r="I35" s="1002"/>
      <c r="J35" s="1002"/>
      <c r="K35" s="1002"/>
      <c r="L35" s="1002"/>
    </row>
    <row r="36" spans="1:12">
      <c r="A36" s="1153">
        <f t="shared" si="3"/>
        <v>22</v>
      </c>
      <c r="B36" s="1079" t="s">
        <v>574</v>
      </c>
      <c r="C36" s="1158">
        <v>0</v>
      </c>
      <c r="D36" s="1158">
        <v>0</v>
      </c>
      <c r="E36" s="1158">
        <v>2197500000</v>
      </c>
      <c r="F36" s="1158">
        <v>0</v>
      </c>
      <c r="G36" s="1158">
        <v>0</v>
      </c>
      <c r="H36" s="1159">
        <f t="shared" si="2"/>
        <v>2197500000</v>
      </c>
      <c r="I36" s="1002"/>
      <c r="J36" s="1002"/>
      <c r="K36" s="1002"/>
      <c r="L36" s="1002"/>
    </row>
    <row r="37" spans="1:12">
      <c r="A37" s="1153">
        <f t="shared" si="3"/>
        <v>23</v>
      </c>
      <c r="B37" s="1079" t="s">
        <v>711</v>
      </c>
      <c r="C37" s="1158">
        <v>0</v>
      </c>
      <c r="D37" s="1158">
        <v>0</v>
      </c>
      <c r="E37" s="1158">
        <v>2197500000</v>
      </c>
      <c r="F37" s="1158">
        <v>0</v>
      </c>
      <c r="G37" s="1158">
        <v>0</v>
      </c>
      <c r="H37" s="1159">
        <f t="shared" si="2"/>
        <v>2197500000</v>
      </c>
      <c r="I37" s="1002"/>
      <c r="J37" s="1002"/>
      <c r="K37" s="1002"/>
      <c r="L37" s="1002"/>
    </row>
    <row r="38" spans="1:12">
      <c r="A38" s="1153">
        <f t="shared" si="3"/>
        <v>24</v>
      </c>
      <c r="B38" s="1079" t="s">
        <v>576</v>
      </c>
      <c r="C38" s="1158">
        <v>0</v>
      </c>
      <c r="D38" s="1158">
        <v>0</v>
      </c>
      <c r="E38" s="1158">
        <v>2197500000</v>
      </c>
      <c r="F38" s="1158">
        <v>0</v>
      </c>
      <c r="G38" s="1158">
        <v>0</v>
      </c>
      <c r="H38" s="1159">
        <f t="shared" si="2"/>
        <v>2197500000</v>
      </c>
      <c r="I38" s="1002"/>
      <c r="J38" s="1002"/>
      <c r="K38" s="1002"/>
      <c r="L38" s="1002"/>
    </row>
    <row r="39" spans="1:12">
      <c r="A39" s="1153">
        <f t="shared" si="3"/>
        <v>25</v>
      </c>
      <c r="B39" s="1079" t="s">
        <v>577</v>
      </c>
      <c r="C39" s="1158">
        <v>0</v>
      </c>
      <c r="D39" s="1158">
        <v>0</v>
      </c>
      <c r="E39" s="1158">
        <v>2197500000</v>
      </c>
      <c r="F39" s="1158">
        <v>0</v>
      </c>
      <c r="G39" s="1158">
        <v>0</v>
      </c>
      <c r="H39" s="1159">
        <f t="shared" si="2"/>
        <v>2197500000</v>
      </c>
      <c r="I39" s="1002"/>
      <c r="J39" s="1002"/>
      <c r="K39" s="1002"/>
      <c r="L39" s="1002"/>
    </row>
    <row r="40" spans="1:12">
      <c r="A40" s="1153">
        <f t="shared" si="3"/>
        <v>26</v>
      </c>
      <c r="B40" s="1079" t="s">
        <v>578</v>
      </c>
      <c r="C40" s="1158">
        <v>0</v>
      </c>
      <c r="D40" s="1158">
        <v>0</v>
      </c>
      <c r="E40" s="1158">
        <v>2159700000</v>
      </c>
      <c r="F40" s="1158">
        <v>0</v>
      </c>
      <c r="G40" s="1158">
        <v>0</v>
      </c>
      <c r="H40" s="1159">
        <f t="shared" si="2"/>
        <v>2159700000</v>
      </c>
      <c r="I40" s="1002"/>
      <c r="J40" s="1002"/>
      <c r="K40" s="1002"/>
      <c r="L40" s="1002"/>
    </row>
    <row r="41" spans="1:12">
      <c r="A41" s="1160">
        <f t="shared" si="3"/>
        <v>27</v>
      </c>
      <c r="B41" s="1081" t="s">
        <v>712</v>
      </c>
      <c r="C41" s="1158">
        <v>0</v>
      </c>
      <c r="D41" s="1158">
        <v>0</v>
      </c>
      <c r="E41" s="1158">
        <v>2159700000</v>
      </c>
      <c r="F41" s="1158">
        <v>0</v>
      </c>
      <c r="G41" s="1158">
        <v>0</v>
      </c>
      <c r="H41" s="1159">
        <f t="shared" si="2"/>
        <v>2159700000</v>
      </c>
      <c r="I41" s="1002"/>
      <c r="J41" s="1002"/>
      <c r="K41" s="1002"/>
      <c r="L41" s="1002"/>
    </row>
    <row r="42" spans="1:12" ht="13.5" thickBot="1">
      <c r="A42" s="1164">
        <f t="shared" si="3"/>
        <v>28</v>
      </c>
      <c r="B42" s="1090" t="s">
        <v>713</v>
      </c>
      <c r="C42" s="1104">
        <f t="shared" ref="C42:H42" si="4">SUM(C29:C41)/13</f>
        <v>0</v>
      </c>
      <c r="D42" s="1083">
        <f t="shared" si="4"/>
        <v>0</v>
      </c>
      <c r="E42" s="1083">
        <f>SUM(E29:E41)/13</f>
        <v>2129376923.0769231</v>
      </c>
      <c r="F42" s="1083">
        <f>SUM(F29:F41)/13</f>
        <v>0</v>
      </c>
      <c r="G42" s="1083">
        <f t="shared" si="4"/>
        <v>0</v>
      </c>
      <c r="H42" s="1161">
        <f t="shared" si="4"/>
        <v>2129376923.0769231</v>
      </c>
      <c r="I42" s="1002"/>
      <c r="J42" s="1002"/>
      <c r="K42" s="1002"/>
      <c r="L42" s="1002"/>
    </row>
    <row r="43" spans="1:12" ht="13.5" thickTop="1">
      <c r="A43" s="1144"/>
      <c r="B43" s="1165"/>
      <c r="C43" s="1166"/>
      <c r="D43" s="1167"/>
      <c r="E43" s="1167"/>
      <c r="F43" s="1167"/>
      <c r="G43" s="1166"/>
      <c r="H43" s="1166"/>
      <c r="I43" s="1002"/>
      <c r="J43" s="1002"/>
      <c r="K43" s="1002"/>
      <c r="L43" s="1002"/>
    </row>
    <row r="44" spans="1:12" ht="12.75" customHeight="1">
      <c r="A44" s="1168" t="s">
        <v>748</v>
      </c>
      <c r="F44" s="1169"/>
      <c r="G44" s="1169"/>
      <c r="H44" s="1169"/>
      <c r="I44" s="1002"/>
      <c r="J44" s="1002"/>
      <c r="K44" s="1002"/>
    </row>
    <row r="45" spans="1:12">
      <c r="E45" s="1169"/>
      <c r="F45" s="1169"/>
      <c r="G45" s="1169"/>
      <c r="H45" s="1169"/>
      <c r="J45" s="1165"/>
    </row>
    <row r="46" spans="1:12" ht="15">
      <c r="A46" s="1171" t="s">
        <v>332</v>
      </c>
      <c r="E46" s="1169"/>
      <c r="F46" s="1169"/>
      <c r="G46" s="1169"/>
      <c r="H46" s="1142"/>
    </row>
    <row r="47" spans="1:12" ht="15">
      <c r="A47" s="1171"/>
      <c r="B47" s="1172" t="s">
        <v>702</v>
      </c>
      <c r="C47" s="1172" t="s">
        <v>720</v>
      </c>
      <c r="D47" s="1173" t="s">
        <v>721</v>
      </c>
      <c r="E47" s="1172" t="s">
        <v>703</v>
      </c>
      <c r="F47" s="1173" t="s">
        <v>704</v>
      </c>
      <c r="G47" s="1172" t="s">
        <v>741</v>
      </c>
      <c r="H47" s="1172" t="s">
        <v>749</v>
      </c>
    </row>
    <row r="48" spans="1:12">
      <c r="A48" s="719">
        <f>+A42+1</f>
        <v>29</v>
      </c>
      <c r="B48" s="1174" t="str">
        <f>"Annual Interest Expense for "&amp;TCOS!L4</f>
        <v>Annual Interest Expense for 2023</v>
      </c>
      <c r="C48" s="1175"/>
      <c r="D48" s="1176"/>
      <c r="E48" s="1177"/>
      <c r="F48" s="1177"/>
      <c r="G48" s="1177"/>
      <c r="H48" s="1177"/>
      <c r="I48" s="1177"/>
      <c r="J48" s="1177"/>
      <c r="K48" s="1177"/>
      <c r="L48" s="1177"/>
    </row>
    <row r="49" spans="1:12">
      <c r="A49" s="719">
        <f>+A48+1</f>
        <v>30</v>
      </c>
      <c r="B49" s="1250" t="s">
        <v>768</v>
      </c>
      <c r="C49" s="1175"/>
      <c r="D49" s="1176"/>
      <c r="E49" s="1179">
        <v>85995916.170000002</v>
      </c>
      <c r="F49" s="1177"/>
      <c r="G49" s="1177"/>
      <c r="H49" s="1177"/>
      <c r="I49" s="1177"/>
      <c r="J49" s="1177"/>
      <c r="K49" s="1177"/>
      <c r="L49" s="1177"/>
    </row>
    <row r="50" spans="1:12" ht="28.5" customHeight="1">
      <c r="A50" s="719">
        <f t="shared" ref="A50:A55" si="5">+A49+1</f>
        <v>31</v>
      </c>
      <c r="B50" s="1554" t="str">
        <f>"Less: Total Hedge Gain/Expense Accumulated from p 256-257, col. (i) of FERC Form 1  included in Ln "&amp;A49&amp;" and shown in "&amp;A68&amp;" below."</f>
        <v>Less: Total Hedge Gain/Expense Accumulated from p 256-257, col. (i) of FERC Form 1  included in Ln 30 and shown in 43 below.</v>
      </c>
      <c r="C50" s="1555"/>
      <c r="D50" s="1176"/>
      <c r="E50" s="1175">
        <f>+C68</f>
        <v>0</v>
      </c>
      <c r="F50" s="1177"/>
      <c r="G50" s="1177"/>
      <c r="H50" s="1177"/>
      <c r="I50" s="1177"/>
      <c r="J50" s="1177"/>
      <c r="K50" s="1177"/>
      <c r="L50" s="1177"/>
    </row>
    <row r="51" spans="1:12">
      <c r="A51" s="719">
        <f t="shared" si="5"/>
        <v>32</v>
      </c>
      <c r="B51" s="1250" t="s">
        <v>769</v>
      </c>
      <c r="C51" s="1251"/>
      <c r="D51" s="1180"/>
      <c r="E51" s="1179">
        <v>1123100.19</v>
      </c>
      <c r="F51" s="1177"/>
      <c r="G51" s="1177"/>
      <c r="H51" s="1177"/>
      <c r="I51" s="1177"/>
      <c r="J51" s="1177"/>
    </row>
    <row r="52" spans="1:12">
      <c r="A52" s="719">
        <f t="shared" si="5"/>
        <v>33</v>
      </c>
      <c r="B52" s="1250" t="s">
        <v>770</v>
      </c>
      <c r="C52" s="1181"/>
      <c r="D52" s="1176"/>
      <c r="E52" s="1179">
        <v>0</v>
      </c>
      <c r="F52" s="1177"/>
      <c r="G52" s="1177"/>
      <c r="H52" s="1177"/>
      <c r="I52" s="1177"/>
      <c r="J52" s="1177"/>
    </row>
    <row r="53" spans="1:12">
      <c r="A53" s="719">
        <f t="shared" si="5"/>
        <v>34</v>
      </c>
      <c r="B53" s="1250" t="s">
        <v>771</v>
      </c>
      <c r="C53" s="1181"/>
      <c r="D53" s="1176"/>
      <c r="E53" s="1179">
        <v>42658.92</v>
      </c>
      <c r="F53" s="1177"/>
      <c r="G53" s="1177"/>
      <c r="H53" s="1177"/>
      <c r="I53" s="1177"/>
      <c r="J53" s="1177"/>
    </row>
    <row r="54" spans="1:12" ht="13.5" thickBot="1">
      <c r="A54" s="719">
        <f t="shared" si="5"/>
        <v>35</v>
      </c>
      <c r="B54" s="1250" t="s">
        <v>772</v>
      </c>
      <c r="C54" s="1181"/>
      <c r="D54" s="1176"/>
      <c r="E54" s="1182">
        <v>0</v>
      </c>
      <c r="F54" s="1177"/>
      <c r="G54" s="1177"/>
      <c r="H54" s="1177"/>
      <c r="I54" s="1177"/>
      <c r="J54" s="1177"/>
    </row>
    <row r="55" spans="1:12">
      <c r="A55" s="719">
        <f t="shared" si="5"/>
        <v>36</v>
      </c>
      <c r="B55" s="1174" t="str">
        <f>"Total Interest Expense (Ln "&amp;A49&amp;" - "&amp;A50&amp;" + "&amp;A51&amp;" + "&amp;A52&amp;" - "&amp;A53&amp;" - "&amp;A54&amp;")"</f>
        <v>Total Interest Expense (Ln 30 - 31 + 32 + 33 - 34 - 35)</v>
      </c>
      <c r="C55" s="1183"/>
      <c r="D55" s="1184"/>
      <c r="E55" s="1185">
        <f>+E49-E50+E51+E52-E53-E54</f>
        <v>87076357.439999998</v>
      </c>
      <c r="F55" s="1177"/>
      <c r="G55" s="1177"/>
      <c r="H55" s="1177"/>
      <c r="I55" s="1177"/>
      <c r="J55" s="1177"/>
    </row>
    <row r="56" spans="1:12" ht="13.5" thickBot="1">
      <c r="A56" s="719"/>
      <c r="B56" s="1178"/>
      <c r="C56" s="1181"/>
      <c r="D56" s="1176"/>
      <c r="E56" s="1186"/>
      <c r="F56" s="1177"/>
      <c r="G56" s="1177"/>
      <c r="H56" s="1177"/>
      <c r="I56" s="1177"/>
      <c r="J56" s="1177"/>
    </row>
    <row r="57" spans="1:12" ht="13.5" thickBot="1">
      <c r="A57" s="719">
        <f>+A55+1</f>
        <v>37</v>
      </c>
      <c r="B57" s="1174" t="str">
        <f>"Average Cost of Debt for "&amp;TCOS!L4&amp;" (Ln "&amp;A55&amp;"/ ln "&amp;A42&amp;" (g))"</f>
        <v>Average Cost of Debt for 2023 (Ln 36/ ln 28 (g))</v>
      </c>
      <c r="C57" s="1183"/>
      <c r="D57" s="1176"/>
      <c r="E57" s="1187">
        <f>+E55/H42</f>
        <v>4.0892881150499064E-2</v>
      </c>
      <c r="F57" s="1177"/>
      <c r="G57" s="1177"/>
      <c r="H57" s="1177"/>
      <c r="I57" s="1177"/>
      <c r="J57" s="1177"/>
    </row>
    <row r="58" spans="1:12">
      <c r="A58" s="1188"/>
      <c r="B58" s="1178"/>
      <c r="C58" s="1181"/>
      <c r="D58" s="1176"/>
      <c r="E58" s="1181"/>
      <c r="F58" s="1177"/>
      <c r="G58" s="1177"/>
      <c r="H58" s="1177"/>
      <c r="I58" s="1177"/>
      <c r="J58" s="1177"/>
    </row>
    <row r="59" spans="1:12" ht="16.5" customHeight="1">
      <c r="A59" s="1189"/>
      <c r="B59" s="1556" t="s">
        <v>750</v>
      </c>
      <c r="C59" s="1556"/>
      <c r="D59" s="1556"/>
      <c r="E59" s="1556"/>
      <c r="F59" s="1190"/>
      <c r="G59" s="1177"/>
      <c r="H59" s="1177"/>
      <c r="I59" s="1177"/>
      <c r="J59" s="1177"/>
    </row>
    <row r="60" spans="1:12" ht="21" customHeight="1">
      <c r="A60" s="1191">
        <f>+A57+1</f>
        <v>38</v>
      </c>
      <c r="B60" s="1557" t="str">
        <f>""&amp;A4&amp;" may not include costs (or gains) related to interest hedging activities."</f>
        <v>AEP Ohio Transmission Company may not include costs (or gains) related to interest hedging activities.</v>
      </c>
      <c r="C60" s="1557"/>
      <c r="D60" s="1557"/>
      <c r="E60" s="1557"/>
      <c r="F60" s="1557"/>
      <c r="G60" s="1192"/>
      <c r="H60" s="1192"/>
      <c r="I60" s="1177"/>
      <c r="J60" s="1177"/>
    </row>
    <row r="61" spans="1:12">
      <c r="A61" s="1193"/>
      <c r="B61" s="1194"/>
      <c r="C61" s="1194"/>
      <c r="D61" s="1194"/>
      <c r="E61" s="1558" t="s">
        <v>219</v>
      </c>
      <c r="F61" s="1558"/>
      <c r="G61" s="1002"/>
      <c r="H61" s="1002"/>
      <c r="I61" s="1177"/>
      <c r="J61" s="1177"/>
    </row>
    <row r="62" spans="1:12" ht="38.25">
      <c r="A62" s="719"/>
      <c r="B62" s="1196" t="s">
        <v>220</v>
      </c>
      <c r="C62" s="1196" t="str">
        <f>"(Amortization of (Gain)/Loss for "&amp;TCOS!L4</f>
        <v>(Amortization of (Gain)/Loss for 2023</v>
      </c>
      <c r="D62" s="1195" t="s">
        <v>221</v>
      </c>
      <c r="E62" s="1195" t="s">
        <v>78</v>
      </c>
      <c r="F62" s="1195" t="s">
        <v>80</v>
      </c>
      <c r="G62" s="1002"/>
      <c r="H62" s="1002"/>
      <c r="I62" s="1177"/>
      <c r="J62" s="1177"/>
    </row>
    <row r="63" spans="1:12">
      <c r="A63" s="719">
        <f>+A60+1</f>
        <v>39</v>
      </c>
      <c r="B63" s="1197"/>
      <c r="C63" s="1163"/>
      <c r="D63" s="1197"/>
      <c r="E63" s="1197"/>
      <c r="F63" s="1198"/>
      <c r="G63" s="1002"/>
      <c r="H63" s="1002"/>
      <c r="I63" s="1180"/>
      <c r="J63" s="1180"/>
    </row>
    <row r="64" spans="1:12">
      <c r="A64" s="719">
        <f>+A63+1</f>
        <v>40</v>
      </c>
      <c r="B64" s="1197"/>
      <c r="C64" s="1163"/>
      <c r="D64" s="1197"/>
      <c r="E64" s="1197"/>
      <c r="F64" s="1198"/>
      <c r="G64" s="1199"/>
      <c r="H64" s="1199"/>
      <c r="I64" s="1177"/>
      <c r="J64" s="1177"/>
    </row>
    <row r="65" spans="1:10">
      <c r="A65" s="719">
        <f>+A64+1</f>
        <v>41</v>
      </c>
      <c r="B65" s="1197"/>
      <c r="C65" s="1163"/>
      <c r="D65" s="1200"/>
      <c r="E65" s="1200"/>
      <c r="F65" s="1198"/>
      <c r="G65" s="1199"/>
      <c r="H65" s="1199"/>
      <c r="I65" s="1177"/>
      <c r="J65" s="1177"/>
    </row>
    <row r="66" spans="1:10">
      <c r="A66" s="719">
        <f>+A65+1</f>
        <v>42</v>
      </c>
      <c r="B66" s="1197"/>
      <c r="C66" s="1163"/>
      <c r="D66" s="1200"/>
      <c r="E66" s="1200"/>
      <c r="F66" s="1201"/>
      <c r="G66" s="1202"/>
      <c r="H66" s="1203"/>
      <c r="I66" s="1177"/>
      <c r="J66" s="1177"/>
    </row>
    <row r="67" spans="1:10">
      <c r="A67" s="719"/>
      <c r="B67" s="1204"/>
      <c r="C67" s="1205"/>
      <c r="D67" s="1205"/>
      <c r="E67" s="1206"/>
      <c r="F67" s="1177"/>
      <c r="G67" s="1207"/>
      <c r="H67" s="1207"/>
    </row>
    <row r="68" spans="1:10">
      <c r="A68" s="719">
        <f>+A66+1</f>
        <v>43</v>
      </c>
      <c r="B68" s="1208" t="s">
        <v>245</v>
      </c>
      <c r="C68" s="1186">
        <f>SUM(C63:C67)</f>
        <v>0</v>
      </c>
      <c r="D68" s="1186">
        <f>SUM(D63:D67)</f>
        <v>0</v>
      </c>
      <c r="E68" s="1186">
        <f>SUM(E63:E67)</f>
        <v>0</v>
      </c>
      <c r="F68" s="1209">
        <f>SUM(F63:F67)</f>
        <v>0</v>
      </c>
      <c r="G68" s="1177"/>
      <c r="H68" s="1177"/>
    </row>
    <row r="69" spans="1:10">
      <c r="A69" s="719"/>
      <c r="B69" s="1178"/>
      <c r="C69" s="1186"/>
      <c r="D69" s="1186"/>
      <c r="E69" s="1186"/>
      <c r="F69" s="1177"/>
      <c r="G69" s="1177"/>
      <c r="H69" s="1177"/>
    </row>
    <row r="70" spans="1:10">
      <c r="A70" s="719"/>
      <c r="B70" s="1174"/>
      <c r="C70" s="1181"/>
      <c r="D70" s="1176"/>
      <c r="E70" s="1210"/>
      <c r="F70" s="1177"/>
      <c r="G70" s="1177"/>
      <c r="H70" s="1177"/>
    </row>
    <row r="71" spans="1:10">
      <c r="A71" s="719"/>
      <c r="B71" s="1174"/>
      <c r="C71" s="1181"/>
      <c r="D71" s="1176"/>
      <c r="E71" s="1210"/>
      <c r="F71" s="1177"/>
      <c r="G71" s="1177"/>
      <c r="H71" s="1177"/>
    </row>
    <row r="72" spans="1:10" ht="15">
      <c r="A72" s="1211" t="s">
        <v>337</v>
      </c>
      <c r="B72" s="1174"/>
      <c r="C72" s="1181"/>
      <c r="D72" s="1176"/>
      <c r="E72" s="1210"/>
      <c r="F72" s="1177"/>
      <c r="G72" s="1177"/>
      <c r="H72" s="1177"/>
    </row>
    <row r="73" spans="1:10">
      <c r="A73" s="719"/>
      <c r="B73" s="1174"/>
      <c r="C73" s="1181"/>
      <c r="D73" s="1176"/>
      <c r="E73" s="1210"/>
      <c r="F73" s="1177"/>
      <c r="G73" s="1177"/>
      <c r="H73" s="1177"/>
    </row>
    <row r="74" spans="1:10">
      <c r="A74" s="1212">
        <f>+A68+1</f>
        <v>44</v>
      </c>
      <c r="B74" s="1176" t="str">
        <f>"Balance of Preferred Stock (Line "&amp;A23&amp;" (c))"</f>
        <v>Balance of Preferred Stock (Line 14 (c))</v>
      </c>
      <c r="E74" s="1213">
        <f>+D23</f>
        <v>0</v>
      </c>
    </row>
    <row r="75" spans="1:10">
      <c r="A75" s="719">
        <f>+A74+1</f>
        <v>45</v>
      </c>
      <c r="B75" s="1176" t="s">
        <v>751</v>
      </c>
      <c r="E75" s="1201"/>
    </row>
    <row r="76" spans="1:10">
      <c r="A76" s="719">
        <f>+A75+1</f>
        <v>46</v>
      </c>
      <c r="B76" s="1214" t="str">
        <f>"Average Cost of Preferred Stock (Ln "&amp;A75&amp;" / ln "&amp;A74&amp;")"</f>
        <v>Average Cost of Preferred Stock (Ln 45 / ln 44)</v>
      </c>
      <c r="E76" s="1215"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0"/>
  <sheetViews>
    <sheetView topLeftCell="A48" zoomScale="90" zoomScaleNormal="90" zoomScaleSheetLayoutView="70" workbookViewId="0">
      <selection activeCell="J67" sqref="J67"/>
    </sheetView>
  </sheetViews>
  <sheetFormatPr defaultColWidth="11.42578125" defaultRowHeight="12.75"/>
  <cols>
    <col min="1" max="1" width="10.28515625" style="1106" customWidth="1"/>
    <col min="2" max="2" width="57.42578125" style="1060" customWidth="1"/>
    <col min="3" max="3" width="26.7109375" style="1060" bestFit="1" customWidth="1"/>
    <col min="4" max="4" width="25" style="1060" customWidth="1"/>
    <col min="5" max="11" width="20.28515625" style="1060" customWidth="1"/>
    <col min="12" max="12" width="20" style="1060" customWidth="1"/>
    <col min="13" max="14" width="15.140625" style="1060" customWidth="1"/>
    <col min="15" max="16384" width="11.42578125" style="1060"/>
  </cols>
  <sheetData>
    <row r="1" spans="1:12" ht="15">
      <c r="A1" s="1484" t="str">
        <f>TCOS!F5</f>
        <v>AEPTCo subsidiaries in PJM</v>
      </c>
      <c r="B1" s="1484" t="s">
        <v>321</v>
      </c>
      <c r="C1" s="1484" t="s">
        <v>321</v>
      </c>
      <c r="D1" s="1484" t="s">
        <v>321</v>
      </c>
      <c r="E1" s="1484" t="s">
        <v>321</v>
      </c>
      <c r="F1" s="1484" t="s">
        <v>321</v>
      </c>
      <c r="G1" s="1484" t="s">
        <v>321</v>
      </c>
      <c r="H1" s="1059"/>
      <c r="I1" s="1059"/>
    </row>
    <row r="2" spans="1:12" ht="15">
      <c r="A2" s="1485" t="str">
        <f>"Cost of Service Formula Rate Using Actual/Projected FF1 Balances"</f>
        <v>Cost of Service Formula Rate Using Actual/Projected FF1 Balances</v>
      </c>
      <c r="B2" s="1485"/>
      <c r="C2" s="1485"/>
      <c r="D2" s="1485"/>
      <c r="E2" s="1485"/>
      <c r="F2" s="1485"/>
      <c r="G2" s="1485"/>
      <c r="H2" s="1059"/>
      <c r="I2" s="1059"/>
      <c r="J2" s="1059"/>
      <c r="L2" s="1061"/>
    </row>
    <row r="3" spans="1:12" ht="15">
      <c r="A3" s="1485" t="s">
        <v>695</v>
      </c>
      <c r="B3" s="1485"/>
      <c r="C3" s="1485"/>
      <c r="D3" s="1485"/>
      <c r="E3" s="1485"/>
      <c r="F3" s="1485"/>
      <c r="G3" s="1485"/>
      <c r="H3" s="1059"/>
      <c r="I3" s="1059"/>
      <c r="J3" s="1059"/>
    </row>
    <row r="4" spans="1:12" ht="15">
      <c r="A4" s="1491" t="str">
        <f>TCOS!F9</f>
        <v>AEP Ohio Transmission Company</v>
      </c>
      <c r="B4" s="1491"/>
      <c r="C4" s="1491"/>
      <c r="D4" s="1491"/>
      <c r="E4" s="1491"/>
      <c r="F4" s="1491"/>
      <c r="G4" s="1491"/>
      <c r="H4" s="1059"/>
      <c r="I4" s="1059"/>
      <c r="J4" s="1059"/>
    </row>
    <row r="5" spans="1:12">
      <c r="A5" s="1059"/>
      <c r="B5" s="1062"/>
      <c r="C5" s="1062"/>
      <c r="D5" s="1062"/>
      <c r="E5" s="1063"/>
      <c r="F5" s="1064"/>
      <c r="H5" s="1064"/>
      <c r="J5" s="1064"/>
      <c r="L5" s="1064"/>
    </row>
    <row r="6" spans="1:12" ht="12.75" customHeight="1">
      <c r="A6" s="1059"/>
      <c r="B6" s="1062"/>
      <c r="C6" s="1486" t="s">
        <v>696</v>
      </c>
      <c r="D6" s="1487"/>
      <c r="E6" s="1487"/>
      <c r="F6" s="1487"/>
      <c r="G6" s="1488"/>
      <c r="H6" s="1065"/>
      <c r="I6" s="1065"/>
      <c r="J6" s="1065"/>
      <c r="K6" s="1065"/>
      <c r="L6" s="4"/>
    </row>
    <row r="7" spans="1:12" s="1070" customFormat="1" ht="25.5">
      <c r="A7" s="1066" t="s">
        <v>697</v>
      </c>
      <c r="B7" s="1067" t="s">
        <v>698</v>
      </c>
      <c r="C7" s="1068" t="s">
        <v>409</v>
      </c>
      <c r="D7" s="1068" t="s">
        <v>699</v>
      </c>
      <c r="E7" s="1068" t="s">
        <v>128</v>
      </c>
      <c r="F7" s="1068" t="s">
        <v>700</v>
      </c>
      <c r="G7" s="1067" t="s">
        <v>701</v>
      </c>
      <c r="H7" s="7"/>
      <c r="I7" s="1069"/>
      <c r="J7" s="1069"/>
      <c r="K7" s="1069"/>
      <c r="L7" s="4"/>
    </row>
    <row r="8" spans="1:12" s="1075" customFormat="1">
      <c r="A8" s="1071"/>
      <c r="B8" s="1072" t="s">
        <v>702</v>
      </c>
      <c r="C8" s="1073" t="s">
        <v>703</v>
      </c>
      <c r="D8" s="1073" t="s">
        <v>704</v>
      </c>
      <c r="E8" s="1073" t="s">
        <v>705</v>
      </c>
      <c r="F8" s="1073" t="s">
        <v>706</v>
      </c>
      <c r="G8" s="1074" t="s">
        <v>707</v>
      </c>
      <c r="H8"/>
      <c r="L8" s="4"/>
    </row>
    <row r="9" spans="1:12" s="1075" customFormat="1" ht="44.25" customHeight="1">
      <c r="A9" s="1071"/>
      <c r="B9" s="1072" t="s">
        <v>708</v>
      </c>
      <c r="C9" s="1076" t="s">
        <v>223</v>
      </c>
      <c r="D9" s="1076" t="s">
        <v>224</v>
      </c>
      <c r="E9" s="1076" t="s">
        <v>225</v>
      </c>
      <c r="F9" s="1076" t="s">
        <v>226</v>
      </c>
      <c r="G9" s="1077" t="s">
        <v>227</v>
      </c>
      <c r="H9"/>
      <c r="L9" s="4"/>
    </row>
    <row r="10" spans="1:12">
      <c r="A10" s="1071">
        <v>1</v>
      </c>
      <c r="B10" s="1078" t="s">
        <v>709</v>
      </c>
      <c r="C10" s="1158">
        <v>5095163859.9699993</v>
      </c>
      <c r="D10" s="1158">
        <v>0</v>
      </c>
      <c r="E10" s="1158">
        <v>180883621</v>
      </c>
      <c r="F10" s="1158">
        <v>0</v>
      </c>
      <c r="G10" s="1158">
        <v>54712369</v>
      </c>
      <c r="H10"/>
      <c r="L10" s="4"/>
    </row>
    <row r="11" spans="1:12">
      <c r="A11" s="1071">
        <f>+A10+1</f>
        <v>2</v>
      </c>
      <c r="B11" s="1078" t="s">
        <v>568</v>
      </c>
      <c r="C11" s="1158">
        <v>5108986555.500001</v>
      </c>
      <c r="D11" s="1158">
        <v>0</v>
      </c>
      <c r="E11" s="1158">
        <v>180969842.25</v>
      </c>
      <c r="F11" s="1158">
        <v>0</v>
      </c>
      <c r="G11" s="1158">
        <v>55461530.990000002</v>
      </c>
      <c r="H11"/>
      <c r="L11" s="4"/>
    </row>
    <row r="12" spans="1:12">
      <c r="A12" s="1071">
        <f t="shared" ref="A12:A23" si="0">+A11+1</f>
        <v>3</v>
      </c>
      <c r="B12" s="1079" t="s">
        <v>569</v>
      </c>
      <c r="C12" s="1158">
        <v>5116820900.999999</v>
      </c>
      <c r="D12" s="1158">
        <v>0</v>
      </c>
      <c r="E12" s="1158">
        <v>180987800.80000001</v>
      </c>
      <c r="F12" s="1158">
        <v>0</v>
      </c>
      <c r="G12" s="1158">
        <v>56362367.740000002</v>
      </c>
      <c r="H12"/>
      <c r="L12" s="4"/>
    </row>
    <row r="13" spans="1:12">
      <c r="A13" s="1071">
        <f t="shared" si="0"/>
        <v>4</v>
      </c>
      <c r="B13" s="1079" t="s">
        <v>710</v>
      </c>
      <c r="C13" s="1158">
        <v>5141189403.3400011</v>
      </c>
      <c r="D13" s="1158">
        <v>0</v>
      </c>
      <c r="E13" s="1158">
        <v>181169218</v>
      </c>
      <c r="F13" s="1158">
        <v>0</v>
      </c>
      <c r="G13" s="1158">
        <v>54971647.390000008</v>
      </c>
      <c r="H13"/>
      <c r="L13" s="4"/>
    </row>
    <row r="14" spans="1:12">
      <c r="A14" s="1071">
        <f t="shared" si="0"/>
        <v>5</v>
      </c>
      <c r="B14" s="1079" t="s">
        <v>571</v>
      </c>
      <c r="C14" s="1158">
        <v>5149997560.6200018</v>
      </c>
      <c r="D14" s="1158">
        <v>0</v>
      </c>
      <c r="E14" s="1158">
        <v>181959094.88000005</v>
      </c>
      <c r="F14" s="1158">
        <v>0</v>
      </c>
      <c r="G14" s="1158">
        <v>55932557.689999998</v>
      </c>
      <c r="H14"/>
      <c r="L14" s="4"/>
    </row>
    <row r="15" spans="1:12">
      <c r="A15" s="1071">
        <f t="shared" si="0"/>
        <v>6</v>
      </c>
      <c r="B15" s="1079" t="s">
        <v>572</v>
      </c>
      <c r="C15" s="1158">
        <v>5163067339.1899977</v>
      </c>
      <c r="D15" s="1158">
        <v>0</v>
      </c>
      <c r="E15" s="1158">
        <v>181973701.04000002</v>
      </c>
      <c r="F15" s="1158">
        <v>0</v>
      </c>
      <c r="G15" s="1158">
        <v>57039190.309999995</v>
      </c>
      <c r="H15"/>
      <c r="L15" s="4"/>
    </row>
    <row r="16" spans="1:12">
      <c r="A16" s="1071">
        <f t="shared" si="0"/>
        <v>7</v>
      </c>
      <c r="B16" s="1079" t="s">
        <v>573</v>
      </c>
      <c r="C16" s="1158">
        <v>5207487328.7599993</v>
      </c>
      <c r="D16" s="1158">
        <v>0</v>
      </c>
      <c r="E16" s="1158">
        <v>181997324.47999999</v>
      </c>
      <c r="F16" s="1158">
        <v>0</v>
      </c>
      <c r="G16" s="1158">
        <v>56447310.600000009</v>
      </c>
      <c r="H16"/>
      <c r="L16" s="4"/>
    </row>
    <row r="17" spans="1:12">
      <c r="A17" s="1071">
        <f t="shared" si="0"/>
        <v>8</v>
      </c>
      <c r="B17" s="1079" t="s">
        <v>574</v>
      </c>
      <c r="C17" s="1158">
        <v>5276869182.7200003</v>
      </c>
      <c r="D17" s="1158">
        <v>0</v>
      </c>
      <c r="E17" s="1158">
        <v>182517129.62000003</v>
      </c>
      <c r="F17" s="1158">
        <v>0</v>
      </c>
      <c r="G17" s="1158">
        <v>57490412.830000006</v>
      </c>
      <c r="H17"/>
      <c r="L17" s="4"/>
    </row>
    <row r="18" spans="1:12">
      <c r="A18" s="1071">
        <f t="shared" si="0"/>
        <v>9</v>
      </c>
      <c r="B18" s="1079" t="s">
        <v>711</v>
      </c>
      <c r="C18" s="1158">
        <v>5361556623.4700003</v>
      </c>
      <c r="D18" s="1158">
        <v>0</v>
      </c>
      <c r="E18" s="1158">
        <v>182714964.18000001</v>
      </c>
      <c r="F18" s="1158">
        <v>0</v>
      </c>
      <c r="G18" s="1158">
        <v>58535906.409999996</v>
      </c>
      <c r="H18"/>
      <c r="L18" s="4"/>
    </row>
    <row r="19" spans="1:12">
      <c r="A19" s="1071">
        <f t="shared" si="0"/>
        <v>10</v>
      </c>
      <c r="B19" s="1079" t="s">
        <v>576</v>
      </c>
      <c r="C19" s="1158">
        <v>5412322743.6800003</v>
      </c>
      <c r="D19" s="1158">
        <v>0</v>
      </c>
      <c r="E19" s="1158">
        <v>182729572.25</v>
      </c>
      <c r="F19" s="1158">
        <v>0</v>
      </c>
      <c r="G19" s="1158">
        <v>59298815</v>
      </c>
      <c r="H19"/>
      <c r="L19" s="4"/>
    </row>
    <row r="20" spans="1:12">
      <c r="A20" s="1071">
        <f t="shared" si="0"/>
        <v>11</v>
      </c>
      <c r="B20" s="1079" t="s">
        <v>577</v>
      </c>
      <c r="C20" s="1158">
        <v>5431713879.6300011</v>
      </c>
      <c r="D20" s="1158">
        <v>0</v>
      </c>
      <c r="E20" s="1158">
        <v>182835221.14000002</v>
      </c>
      <c r="F20" s="1158">
        <v>0</v>
      </c>
      <c r="G20" s="1158">
        <v>60177180.620000005</v>
      </c>
      <c r="H20"/>
      <c r="L20" s="4"/>
    </row>
    <row r="21" spans="1:12">
      <c r="A21" s="1071">
        <f t="shared" si="0"/>
        <v>12</v>
      </c>
      <c r="B21" s="1079" t="s">
        <v>578</v>
      </c>
      <c r="C21" s="1158">
        <v>5499419058.6199989</v>
      </c>
      <c r="D21" s="1158">
        <v>0</v>
      </c>
      <c r="E21" s="1158">
        <v>182842858.17999998</v>
      </c>
      <c r="F21" s="1158">
        <v>0</v>
      </c>
      <c r="G21" s="1158">
        <v>60592507.509999998</v>
      </c>
      <c r="H21"/>
      <c r="L21" s="4"/>
    </row>
    <row r="22" spans="1:12">
      <c r="A22" s="1080">
        <f t="shared" si="0"/>
        <v>13</v>
      </c>
      <c r="B22" s="1081" t="s">
        <v>712</v>
      </c>
      <c r="C22" s="1158">
        <v>5537875633.9900007</v>
      </c>
      <c r="D22" s="1158">
        <v>0</v>
      </c>
      <c r="E22" s="1158">
        <v>182906474</v>
      </c>
      <c r="F22" s="1158">
        <v>0</v>
      </c>
      <c r="G22" s="1158">
        <v>60846175.729999997</v>
      </c>
      <c r="H22"/>
      <c r="L22" s="4"/>
    </row>
    <row r="23" spans="1:12" ht="13.5" thickBot="1">
      <c r="A23" s="1080">
        <f t="shared" si="0"/>
        <v>14</v>
      </c>
      <c r="B23" s="1082" t="s">
        <v>713</v>
      </c>
      <c r="C23" s="1083">
        <f>SUM(C10:C22)/13</f>
        <v>5269420774.6530771</v>
      </c>
      <c r="D23" s="1083">
        <f>SUM(D10:D22)/13</f>
        <v>0</v>
      </c>
      <c r="E23" s="1083">
        <f>SUM(E10:E22)/13</f>
        <v>182037447.8323077</v>
      </c>
      <c r="F23" s="1083">
        <f>SUM(F10:F22)/13</f>
        <v>0</v>
      </c>
      <c r="G23" s="1084">
        <f>SUM(G10:G22)/13</f>
        <v>57528305.524615392</v>
      </c>
      <c r="H23"/>
      <c r="L23" s="4"/>
    </row>
    <row r="24" spans="1:12" ht="13.5" thickTop="1">
      <c r="A24" s="1059"/>
      <c r="B24" s="1085"/>
      <c r="C24" s="1086"/>
      <c r="D24" s="1087"/>
      <c r="E24" s="1087"/>
      <c r="F24" s="1087"/>
      <c r="G24" s="1086"/>
      <c r="H24" s="1086"/>
      <c r="I24" s="1086"/>
      <c r="J24" s="4"/>
      <c r="K24" s="4"/>
      <c r="L24" s="4"/>
    </row>
    <row r="25" spans="1:12" ht="12.75" customHeight="1">
      <c r="A25" s="1059"/>
      <c r="B25" s="1062"/>
      <c r="C25" s="1489" t="s">
        <v>714</v>
      </c>
      <c r="D25" s="1490"/>
      <c r="E25" s="1490"/>
      <c r="F25" s="1490"/>
      <c r="G25" s="1490"/>
      <c r="H25"/>
      <c r="I25"/>
      <c r="J25"/>
      <c r="K25"/>
      <c r="L25" s="4"/>
    </row>
    <row r="26" spans="1:12" s="1070" customFormat="1" ht="25.5">
      <c r="A26" s="1066" t="s">
        <v>697</v>
      </c>
      <c r="B26" s="1067" t="s">
        <v>698</v>
      </c>
      <c r="C26" s="1068" t="s">
        <v>409</v>
      </c>
      <c r="D26" s="1068" t="s">
        <v>699</v>
      </c>
      <c r="E26" s="1068" t="s">
        <v>128</v>
      </c>
      <c r="F26" s="1068" t="s">
        <v>700</v>
      </c>
      <c r="G26" s="1088" t="s">
        <v>701</v>
      </c>
      <c r="H26"/>
      <c r="I26"/>
      <c r="J26"/>
      <c r="K26"/>
      <c r="L26" s="4"/>
    </row>
    <row r="27" spans="1:12" s="1075" customFormat="1">
      <c r="A27" s="1071"/>
      <c r="B27" s="1072" t="s">
        <v>702</v>
      </c>
      <c r="C27" s="1073" t="s">
        <v>703</v>
      </c>
      <c r="D27" s="1073" t="s">
        <v>704</v>
      </c>
      <c r="E27" s="1073" t="s">
        <v>705</v>
      </c>
      <c r="F27" s="1073" t="s">
        <v>706</v>
      </c>
      <c r="G27" s="1074" t="s">
        <v>707</v>
      </c>
      <c r="H27"/>
      <c r="I27"/>
      <c r="J27"/>
      <c r="K27"/>
      <c r="L27" s="4"/>
    </row>
    <row r="28" spans="1:12" s="1075" customFormat="1" ht="44.25" customHeight="1">
      <c r="A28" s="1071"/>
      <c r="B28" s="1072" t="s">
        <v>708</v>
      </c>
      <c r="C28" s="1076" t="s">
        <v>172</v>
      </c>
      <c r="D28" s="1076" t="str">
        <f>"Company Records (Included in total in Column "&amp;C27&amp;")"</f>
        <v>Company Records (Included in total in Column (d))</v>
      </c>
      <c r="E28" s="1076" t="s">
        <v>8</v>
      </c>
      <c r="F28" s="1076" t="str">
        <f>"Company Records (Included in total in Column "&amp;E27&amp;")"</f>
        <v>Company Records (Included in total in Column (h))</v>
      </c>
      <c r="G28" s="1077" t="s">
        <v>294</v>
      </c>
      <c r="H28"/>
      <c r="I28"/>
      <c r="J28"/>
      <c r="K28"/>
      <c r="L28" s="4"/>
    </row>
    <row r="29" spans="1:12">
      <c r="A29" s="1071">
        <f>+A23+1</f>
        <v>15</v>
      </c>
      <c r="B29" s="1078" t="s">
        <v>709</v>
      </c>
      <c r="C29" s="1158">
        <v>594308675.17000008</v>
      </c>
      <c r="D29" s="1158">
        <v>0</v>
      </c>
      <c r="E29" s="1158">
        <v>18134420.890000001</v>
      </c>
      <c r="F29" s="1158">
        <v>0</v>
      </c>
      <c r="G29" s="1158">
        <v>21365543.760000002</v>
      </c>
      <c r="H29"/>
      <c r="I29"/>
      <c r="J29"/>
      <c r="K29"/>
      <c r="L29" s="4"/>
    </row>
    <row r="30" spans="1:12">
      <c r="A30" s="1071">
        <f>+A29+1</f>
        <v>16</v>
      </c>
      <c r="B30" s="1078" t="s">
        <v>568</v>
      </c>
      <c r="C30" s="1158">
        <v>606241787.8900001</v>
      </c>
      <c r="D30" s="1158">
        <v>0</v>
      </c>
      <c r="E30" s="1158">
        <v>18534063.460000001</v>
      </c>
      <c r="F30" s="1158">
        <v>0</v>
      </c>
      <c r="G30" s="1158">
        <v>22186576.390000001</v>
      </c>
      <c r="H30"/>
      <c r="I30"/>
      <c r="J30"/>
      <c r="K30"/>
      <c r="L30" s="4"/>
    </row>
    <row r="31" spans="1:12">
      <c r="A31" s="1071">
        <f t="shared" ref="A31:A42" si="1">+A30+1</f>
        <v>17</v>
      </c>
      <c r="B31" s="1079" t="s">
        <v>569</v>
      </c>
      <c r="C31" s="1158">
        <v>618218603.99000001</v>
      </c>
      <c r="D31" s="1158">
        <v>0</v>
      </c>
      <c r="E31" s="1158">
        <v>18967172.630000003</v>
      </c>
      <c r="F31" s="1158">
        <v>0</v>
      </c>
      <c r="G31" s="1158">
        <v>23018369.800000004</v>
      </c>
      <c r="H31"/>
      <c r="I31"/>
      <c r="J31"/>
      <c r="K31"/>
      <c r="L31" s="4"/>
    </row>
    <row r="32" spans="1:12">
      <c r="A32" s="1071">
        <f t="shared" si="1"/>
        <v>18</v>
      </c>
      <c r="B32" s="1079" t="s">
        <v>710</v>
      </c>
      <c r="C32" s="1158">
        <v>630949306.44999993</v>
      </c>
      <c r="D32" s="1158">
        <v>0</v>
      </c>
      <c r="E32" s="1158">
        <v>19386502.850000001</v>
      </c>
      <c r="F32" s="1158">
        <v>0</v>
      </c>
      <c r="G32" s="1158">
        <v>20874750.760000002</v>
      </c>
      <c r="H32"/>
      <c r="I32"/>
      <c r="J32"/>
      <c r="K32"/>
      <c r="L32" s="4"/>
    </row>
    <row r="33" spans="1:12">
      <c r="A33" s="1071">
        <f t="shared" si="1"/>
        <v>19</v>
      </c>
      <c r="B33" s="1079" t="s">
        <v>571</v>
      </c>
      <c r="C33" s="1158">
        <v>642339811.99000001</v>
      </c>
      <c r="D33" s="1158">
        <v>0</v>
      </c>
      <c r="E33" s="1158">
        <v>19790930.68</v>
      </c>
      <c r="F33" s="1158">
        <v>0</v>
      </c>
      <c r="G33" s="1158">
        <v>21706141.890000001</v>
      </c>
      <c r="H33"/>
      <c r="I33"/>
      <c r="J33"/>
      <c r="K33"/>
      <c r="L33" s="4"/>
    </row>
    <row r="34" spans="1:12">
      <c r="A34" s="1071">
        <f t="shared" si="1"/>
        <v>20</v>
      </c>
      <c r="B34" s="1079" t="s">
        <v>572</v>
      </c>
      <c r="C34" s="1158">
        <v>654608728.84000027</v>
      </c>
      <c r="D34" s="1158">
        <v>0</v>
      </c>
      <c r="E34" s="1158">
        <v>20194588.130000003</v>
      </c>
      <c r="F34" s="1158">
        <v>0</v>
      </c>
      <c r="G34" s="1158">
        <v>22553548.189999998</v>
      </c>
      <c r="H34"/>
      <c r="I34"/>
      <c r="J34"/>
      <c r="K34"/>
      <c r="L34" s="4"/>
    </row>
    <row r="35" spans="1:12">
      <c r="A35" s="1071">
        <f t="shared" si="1"/>
        <v>21</v>
      </c>
      <c r="B35" s="1079" t="s">
        <v>573</v>
      </c>
      <c r="C35" s="1158">
        <v>667029130.63999987</v>
      </c>
      <c r="D35" s="1158">
        <v>0</v>
      </c>
      <c r="E35" s="1158">
        <v>20592016.760000002</v>
      </c>
      <c r="F35" s="1158">
        <v>0</v>
      </c>
      <c r="G35" s="1158">
        <v>21443823.850000001</v>
      </c>
      <c r="H35"/>
      <c r="I35"/>
      <c r="J35"/>
      <c r="K35"/>
      <c r="L35" s="4"/>
    </row>
    <row r="36" spans="1:12">
      <c r="A36" s="1071">
        <f t="shared" si="1"/>
        <v>22</v>
      </c>
      <c r="B36" s="1079" t="s">
        <v>574</v>
      </c>
      <c r="C36" s="1158">
        <v>679341191.3599999</v>
      </c>
      <c r="D36" s="1158">
        <v>0</v>
      </c>
      <c r="E36" s="1158">
        <v>20993064.620000001</v>
      </c>
      <c r="F36" s="1158">
        <v>0</v>
      </c>
      <c r="G36" s="1158">
        <v>22299809.370000001</v>
      </c>
      <c r="H36"/>
      <c r="I36"/>
      <c r="J36"/>
      <c r="K36"/>
      <c r="L36" s="4"/>
    </row>
    <row r="37" spans="1:12">
      <c r="A37" s="1071">
        <f t="shared" si="1"/>
        <v>23</v>
      </c>
      <c r="B37" s="1079" t="s">
        <v>711</v>
      </c>
      <c r="C37" s="1158">
        <v>691588119.25999999</v>
      </c>
      <c r="D37" s="1158">
        <v>0</v>
      </c>
      <c r="E37" s="1158">
        <v>21400465.710000001</v>
      </c>
      <c r="F37" s="1158">
        <v>0</v>
      </c>
      <c r="G37" s="1158">
        <v>23173179.920000006</v>
      </c>
      <c r="H37"/>
      <c r="I37"/>
      <c r="J37"/>
      <c r="K37"/>
      <c r="L37" s="4"/>
    </row>
    <row r="38" spans="1:12">
      <c r="A38" s="1071">
        <f t="shared" si="1"/>
        <v>24</v>
      </c>
      <c r="B38" s="1079" t="s">
        <v>576</v>
      </c>
      <c r="C38" s="1158">
        <v>704279222.64999986</v>
      </c>
      <c r="D38" s="1158">
        <v>0</v>
      </c>
      <c r="E38" s="1158">
        <v>21811353.120000001</v>
      </c>
      <c r="F38" s="1158">
        <v>0</v>
      </c>
      <c r="G38" s="1158">
        <v>24063975.369999997</v>
      </c>
      <c r="H38"/>
      <c r="I38"/>
      <c r="J38"/>
      <c r="K38"/>
      <c r="L38" s="4"/>
    </row>
    <row r="39" spans="1:12">
      <c r="A39" s="1071">
        <f t="shared" si="1"/>
        <v>25</v>
      </c>
      <c r="B39" s="1079" t="s">
        <v>577</v>
      </c>
      <c r="C39" s="1158">
        <v>717101364.28999996</v>
      </c>
      <c r="D39" s="1158">
        <v>0</v>
      </c>
      <c r="E39" s="1158">
        <v>22220582.240000006</v>
      </c>
      <c r="F39" s="1158">
        <v>0</v>
      </c>
      <c r="G39" s="1158">
        <v>24967485.970000003</v>
      </c>
      <c r="H39"/>
      <c r="I39"/>
      <c r="J39"/>
      <c r="K39"/>
      <c r="L39" s="4"/>
    </row>
    <row r="40" spans="1:12">
      <c r="A40" s="1071">
        <f t="shared" si="1"/>
        <v>26</v>
      </c>
      <c r="B40" s="1079" t="s">
        <v>578</v>
      </c>
      <c r="C40" s="1158">
        <v>729966006.14999998</v>
      </c>
      <c r="D40" s="1158">
        <v>0</v>
      </c>
      <c r="E40" s="1158">
        <v>22631946.330000002</v>
      </c>
      <c r="F40" s="1158">
        <v>0</v>
      </c>
      <c r="G40" s="1158">
        <v>25885635.989999998</v>
      </c>
      <c r="H40"/>
      <c r="I40"/>
      <c r="J40"/>
      <c r="K40"/>
      <c r="L40" s="4"/>
    </row>
    <row r="41" spans="1:12">
      <c r="A41" s="1080">
        <f t="shared" si="1"/>
        <v>27</v>
      </c>
      <c r="B41" s="1081" t="s">
        <v>712</v>
      </c>
      <c r="C41" s="1158">
        <v>743137787.31999981</v>
      </c>
      <c r="D41" s="1158">
        <v>0</v>
      </c>
      <c r="E41" s="1158">
        <v>23045999.930000003</v>
      </c>
      <c r="F41" s="1158">
        <v>0</v>
      </c>
      <c r="G41" s="1158">
        <v>26451698.239999998</v>
      </c>
      <c r="H41"/>
      <c r="I41"/>
      <c r="J41"/>
      <c r="K41"/>
      <c r="L41" s="4"/>
    </row>
    <row r="42" spans="1:12" ht="13.5" thickBot="1">
      <c r="A42" s="1089">
        <f t="shared" si="1"/>
        <v>28</v>
      </c>
      <c r="B42" s="1090" t="s">
        <v>713</v>
      </c>
      <c r="C42" s="1083">
        <f>SUM(C29:C41)/13</f>
        <v>667623825.84615374</v>
      </c>
      <c r="D42" s="1083">
        <f>SUM(D29:D41)/13</f>
        <v>0</v>
      </c>
      <c r="E42" s="1083">
        <f>SUM(E29:E41)/13</f>
        <v>20592546.719230775</v>
      </c>
      <c r="F42" s="1083">
        <f>SUM(F29:F41)/13</f>
        <v>0</v>
      </c>
      <c r="G42" s="1084">
        <f>SUM(G29:G41)/13</f>
        <v>23076195.346153852</v>
      </c>
      <c r="H42"/>
      <c r="I42"/>
      <c r="J42"/>
      <c r="K42"/>
      <c r="L42" s="4"/>
    </row>
    <row r="43" spans="1:12" ht="13.5" thickTop="1">
      <c r="A43" s="1059"/>
      <c r="B43" s="1085"/>
      <c r="C43" s="1086"/>
      <c r="D43" s="1087"/>
      <c r="E43" s="1087"/>
      <c r="F43" s="1087"/>
      <c r="G43" s="1086"/>
      <c r="H43"/>
      <c r="I43"/>
      <c r="J43"/>
      <c r="K43"/>
      <c r="L43" s="4"/>
    </row>
    <row r="44" spans="1:12">
      <c r="A44" s="1059"/>
      <c r="B44" s="1085"/>
      <c r="C44" s="1086"/>
      <c r="D44" s="1087"/>
      <c r="E44" s="1087"/>
      <c r="F44" s="1087"/>
      <c r="G44" s="1086"/>
      <c r="H44" s="1086"/>
      <c r="I44" s="1086"/>
    </row>
    <row r="45" spans="1:12">
      <c r="A45" s="1091"/>
      <c r="B45" s="1092"/>
      <c r="C45" s="1093"/>
      <c r="D45" s="1094"/>
      <c r="E45" s="1094"/>
      <c r="F45" s="1140"/>
    </row>
    <row r="46" spans="1:12" ht="72" customHeight="1">
      <c r="A46" s="1095" t="s">
        <v>697</v>
      </c>
      <c r="B46" s="1073" t="s">
        <v>698</v>
      </c>
      <c r="C46" s="1096" t="s">
        <v>716</v>
      </c>
      <c r="D46" s="1068" t="s">
        <v>717</v>
      </c>
      <c r="E46" s="1068" t="s">
        <v>718</v>
      </c>
      <c r="F46" s="1088" t="s">
        <v>719</v>
      </c>
    </row>
    <row r="47" spans="1:12" s="1075" customFormat="1">
      <c r="A47" s="1071"/>
      <c r="B47" s="1073" t="s">
        <v>702</v>
      </c>
      <c r="C47" s="1097" t="s">
        <v>720</v>
      </c>
      <c r="D47" s="1073" t="s">
        <v>721</v>
      </c>
      <c r="E47" s="1073" t="s">
        <v>703</v>
      </c>
      <c r="F47" s="1072" t="s">
        <v>704</v>
      </c>
    </row>
    <row r="48" spans="1:12" s="1075" customFormat="1" ht="51">
      <c r="A48" s="1071"/>
      <c r="B48" s="1073" t="s">
        <v>708</v>
      </c>
      <c r="C48" s="1098" t="str">
        <f>"Company Records (included in total in column "&amp;C8&amp;" of gross plant above)"</f>
        <v>Company Records (included in total in column (d) of gross plant above)</v>
      </c>
      <c r="D48" s="1098" t="str">
        <f>"Company Records (included in total in column "&amp;C27&amp;" of accumulated depreciation above)"</f>
        <v>Company Records (included in total in column (d) of accumulated depreciation above)</v>
      </c>
      <c r="E48" s="1099" t="s">
        <v>715</v>
      </c>
      <c r="F48" s="1141" t="s">
        <v>715</v>
      </c>
    </row>
    <row r="49" spans="1:11">
      <c r="A49" s="1071">
        <f>+A42+1</f>
        <v>29</v>
      </c>
      <c r="B49" s="1100" t="s">
        <v>709</v>
      </c>
      <c r="C49" s="1158">
        <v>0</v>
      </c>
      <c r="D49" s="1158">
        <v>0</v>
      </c>
      <c r="E49" s="1158">
        <v>0</v>
      </c>
      <c r="F49" s="1158">
        <v>0</v>
      </c>
    </row>
    <row r="50" spans="1:11">
      <c r="A50" s="1071">
        <f>+A49+1</f>
        <v>30</v>
      </c>
      <c r="B50" s="1100" t="s">
        <v>568</v>
      </c>
      <c r="C50" s="1158">
        <v>0</v>
      </c>
      <c r="D50" s="1158">
        <v>0</v>
      </c>
      <c r="E50" s="1158">
        <v>0</v>
      </c>
      <c r="F50" s="1158">
        <v>0</v>
      </c>
    </row>
    <row r="51" spans="1:11">
      <c r="A51" s="1071">
        <f t="shared" ref="A51:A62" si="2">+A50+1</f>
        <v>31</v>
      </c>
      <c r="B51" s="1101" t="s">
        <v>569</v>
      </c>
      <c r="C51" s="1158">
        <v>0</v>
      </c>
      <c r="D51" s="1158">
        <v>0</v>
      </c>
      <c r="E51" s="1158">
        <v>0</v>
      </c>
      <c r="F51" s="1158">
        <v>0</v>
      </c>
    </row>
    <row r="52" spans="1:11">
      <c r="A52" s="1071">
        <f t="shared" si="2"/>
        <v>32</v>
      </c>
      <c r="B52" s="1101" t="s">
        <v>710</v>
      </c>
      <c r="C52" s="1158">
        <v>0</v>
      </c>
      <c r="D52" s="1158">
        <v>0</v>
      </c>
      <c r="E52" s="1158">
        <v>0</v>
      </c>
      <c r="F52" s="1158">
        <v>0</v>
      </c>
    </row>
    <row r="53" spans="1:11">
      <c r="A53" s="1071">
        <f t="shared" si="2"/>
        <v>33</v>
      </c>
      <c r="B53" s="1101" t="s">
        <v>571</v>
      </c>
      <c r="C53" s="1158">
        <v>0</v>
      </c>
      <c r="D53" s="1158">
        <v>0</v>
      </c>
      <c r="E53" s="1158">
        <v>0</v>
      </c>
      <c r="F53" s="1158">
        <v>0</v>
      </c>
    </row>
    <row r="54" spans="1:11">
      <c r="A54" s="1071">
        <f t="shared" si="2"/>
        <v>34</v>
      </c>
      <c r="B54" s="1101" t="s">
        <v>572</v>
      </c>
      <c r="C54" s="1158">
        <v>0</v>
      </c>
      <c r="D54" s="1158">
        <v>0</v>
      </c>
      <c r="E54" s="1158">
        <v>0</v>
      </c>
      <c r="F54" s="1158">
        <v>0</v>
      </c>
    </row>
    <row r="55" spans="1:11">
      <c r="A55" s="1071">
        <f t="shared" si="2"/>
        <v>35</v>
      </c>
      <c r="B55" s="1101" t="s">
        <v>573</v>
      </c>
      <c r="C55" s="1158">
        <v>0</v>
      </c>
      <c r="D55" s="1158">
        <v>0</v>
      </c>
      <c r="E55" s="1158">
        <v>0</v>
      </c>
      <c r="F55" s="1158">
        <v>0</v>
      </c>
    </row>
    <row r="56" spans="1:11">
      <c r="A56" s="1071">
        <f t="shared" si="2"/>
        <v>36</v>
      </c>
      <c r="B56" s="1101" t="s">
        <v>574</v>
      </c>
      <c r="C56" s="1158">
        <v>0</v>
      </c>
      <c r="D56" s="1158">
        <v>0</v>
      </c>
      <c r="E56" s="1158">
        <v>0</v>
      </c>
      <c r="F56" s="1158">
        <v>0</v>
      </c>
    </row>
    <row r="57" spans="1:11">
      <c r="A57" s="1071">
        <f t="shared" si="2"/>
        <v>37</v>
      </c>
      <c r="B57" s="1101" t="s">
        <v>711</v>
      </c>
      <c r="C57" s="1158">
        <v>0</v>
      </c>
      <c r="D57" s="1158">
        <v>0</v>
      </c>
      <c r="E57" s="1158">
        <v>0</v>
      </c>
      <c r="F57" s="1158">
        <v>0</v>
      </c>
    </row>
    <row r="58" spans="1:11">
      <c r="A58" s="1071">
        <f t="shared" si="2"/>
        <v>38</v>
      </c>
      <c r="B58" s="1101" t="s">
        <v>576</v>
      </c>
      <c r="C58" s="1158">
        <v>0</v>
      </c>
      <c r="D58" s="1158">
        <v>0</v>
      </c>
      <c r="E58" s="1158">
        <v>0</v>
      </c>
      <c r="F58" s="1158">
        <v>0</v>
      </c>
    </row>
    <row r="59" spans="1:11">
      <c r="A59" s="1071">
        <f t="shared" si="2"/>
        <v>39</v>
      </c>
      <c r="B59" s="1101" t="s">
        <v>577</v>
      </c>
      <c r="C59" s="1158">
        <v>0</v>
      </c>
      <c r="D59" s="1158">
        <v>0</v>
      </c>
      <c r="E59" s="1158">
        <v>0</v>
      </c>
      <c r="F59" s="1158">
        <v>0</v>
      </c>
    </row>
    <row r="60" spans="1:11">
      <c r="A60" s="1071">
        <f t="shared" si="2"/>
        <v>40</v>
      </c>
      <c r="B60" s="1101" t="s">
        <v>578</v>
      </c>
      <c r="C60" s="1158">
        <v>0</v>
      </c>
      <c r="D60" s="1158">
        <v>0</v>
      </c>
      <c r="E60" s="1158">
        <v>0</v>
      </c>
      <c r="F60" s="1158">
        <v>0</v>
      </c>
    </row>
    <row r="61" spans="1:11">
      <c r="A61" s="1080">
        <f t="shared" si="2"/>
        <v>41</v>
      </c>
      <c r="B61" s="1102" t="s">
        <v>712</v>
      </c>
      <c r="C61" s="1158">
        <v>0</v>
      </c>
      <c r="D61" s="1158">
        <v>0</v>
      </c>
      <c r="E61" s="1158">
        <v>0</v>
      </c>
      <c r="F61" s="1158">
        <v>0</v>
      </c>
    </row>
    <row r="62" spans="1:11" ht="13.5" thickBot="1">
      <c r="A62" s="1103">
        <f t="shared" si="2"/>
        <v>42</v>
      </c>
      <c r="B62" s="1090" t="s">
        <v>713</v>
      </c>
      <c r="C62" s="1083">
        <f>SUM(C49:C61)/13</f>
        <v>0</v>
      </c>
      <c r="D62" s="1083">
        <f>SUM(D49:D61)/13</f>
        <v>0</v>
      </c>
      <c r="E62" s="1083">
        <f>SUM(E49:E61)/13</f>
        <v>0</v>
      </c>
      <c r="F62" s="1084">
        <f>SUM(F49:F61)/13</f>
        <v>0</v>
      </c>
    </row>
    <row r="63" spans="1:11" ht="13.5" thickTop="1">
      <c r="A63" s="1059"/>
      <c r="B63" s="1085"/>
      <c r="I63" s="1087"/>
      <c r="K63" s="4"/>
    </row>
    <row r="64" spans="1:11">
      <c r="A64" s="1059">
        <v>43</v>
      </c>
      <c r="B64" s="1085" t="s">
        <v>722</v>
      </c>
      <c r="C64" s="1105">
        <f>+C42-C62</f>
        <v>667623825.84615374</v>
      </c>
      <c r="I64" s="1087"/>
      <c r="K64" s="4"/>
    </row>
    <row r="65" spans="1:6" customFormat="1"/>
    <row r="66" spans="1:6" customFormat="1"/>
    <row r="67" spans="1:6" customFormat="1" ht="25.5">
      <c r="A67" s="1107" t="s">
        <v>322</v>
      </c>
      <c r="B67" s="1108"/>
      <c r="C67" s="1109" t="s">
        <v>320</v>
      </c>
      <c r="D67" s="1110" t="str">
        <f>"Balance @ December 31, "&amp;TCOS!L4&amp;""</f>
        <v>Balance @ December 31, 2023</v>
      </c>
      <c r="E67" s="1111" t="str">
        <f>"Balance @ December 31, "&amp;TCOS!L4-1&amp;""</f>
        <v>Balance @ December 31, 2022</v>
      </c>
      <c r="F67" s="1111" t="str">
        <f>"Average Balance for "&amp;TCOS!L4&amp;""</f>
        <v>Average Balance for 2023</v>
      </c>
    </row>
    <row r="68" spans="1:6" customFormat="1">
      <c r="A68" s="1112"/>
      <c r="B68" s="1073" t="s">
        <v>702</v>
      </c>
      <c r="C68" s="1073" t="s">
        <v>720</v>
      </c>
      <c r="D68" s="1073" t="s">
        <v>721</v>
      </c>
      <c r="E68" s="1073" t="s">
        <v>703</v>
      </c>
      <c r="F68" s="1073" t="s">
        <v>704</v>
      </c>
    </row>
    <row r="69" spans="1:6" customFormat="1">
      <c r="A69" s="1113">
        <f>+A64+1</f>
        <v>44</v>
      </c>
      <c r="B69" s="1112" t="s">
        <v>322</v>
      </c>
      <c r="C69" s="1114" t="s">
        <v>169</v>
      </c>
      <c r="D69" s="440">
        <v>0</v>
      </c>
      <c r="E69" s="440">
        <v>0</v>
      </c>
      <c r="F69" s="1115">
        <f>IF(E69="",0,AVERAGE(D69:E69))</f>
        <v>0</v>
      </c>
    </row>
    <row r="70" spans="1:6" customFormat="1">
      <c r="A70" s="1116"/>
      <c r="B70" s="1117"/>
      <c r="C70" s="1117"/>
      <c r="F70" s="1118"/>
    </row>
    <row r="71" spans="1:6" customFormat="1">
      <c r="A71" s="1113">
        <f>+A69+1</f>
        <v>45</v>
      </c>
      <c r="B71" s="1112" t="s">
        <v>774</v>
      </c>
      <c r="C71" s="1119" t="s">
        <v>326</v>
      </c>
      <c r="D71" s="440">
        <v>0</v>
      </c>
      <c r="E71" s="440">
        <v>0</v>
      </c>
      <c r="F71" s="1115">
        <f>IF(E71="",0,AVERAGE(D71:E71))</f>
        <v>0</v>
      </c>
    </row>
    <row r="72" spans="1:6" customFormat="1">
      <c r="A72" s="4"/>
      <c r="B72" s="4"/>
      <c r="C72" s="4"/>
      <c r="D72" s="4"/>
    </row>
    <row r="73" spans="1:6" customFormat="1">
      <c r="A73" s="1112" t="s">
        <v>21</v>
      </c>
      <c r="B73" s="4"/>
      <c r="C73" s="4"/>
      <c r="D73" s="4"/>
    </row>
    <row r="74" spans="1:6" customFormat="1">
      <c r="A74" s="1120"/>
      <c r="B74" s="1117" t="s">
        <v>155</v>
      </c>
      <c r="C74" s="1117"/>
      <c r="D74" s="1117"/>
      <c r="E74" s="1117"/>
      <c r="F74" s="1117"/>
    </row>
    <row r="75" spans="1:6" customFormat="1">
      <c r="A75" s="1113">
        <f>+A71+1</f>
        <v>46</v>
      </c>
      <c r="B75" s="1121"/>
      <c r="C75" s="1121"/>
      <c r="D75" s="440"/>
      <c r="E75" s="440"/>
      <c r="F75" s="1115">
        <f>IF(E75="",0,AVERAGE(D75:E75))</f>
        <v>0</v>
      </c>
    </row>
    <row r="76" spans="1:6" customFormat="1">
      <c r="A76" s="1113">
        <f>+A75+1</f>
        <v>47</v>
      </c>
      <c r="B76" s="1121"/>
      <c r="C76" s="1121"/>
      <c r="D76" s="440"/>
      <c r="E76" s="440"/>
      <c r="F76" s="1115">
        <f>IF(E76="",0,AVERAGE(D76:E76))</f>
        <v>0</v>
      </c>
    </row>
    <row r="77" spans="1:6" customFormat="1">
      <c r="A77" s="1113">
        <f>+A76+1</f>
        <v>48</v>
      </c>
      <c r="B77" s="1121"/>
      <c r="C77" s="1121"/>
      <c r="D77" s="440"/>
      <c r="E77" s="440"/>
      <c r="F77" s="1115">
        <f>IF(E77="",0,AVERAGE(D77:E77))</f>
        <v>0</v>
      </c>
    </row>
    <row r="78" spans="1:6" customFormat="1">
      <c r="A78" s="1113">
        <f>+A77+1</f>
        <v>49</v>
      </c>
      <c r="B78" s="1121"/>
      <c r="C78" s="1121"/>
      <c r="D78" s="440"/>
      <c r="E78" s="440"/>
      <c r="F78" s="1115">
        <f>IF(E78="",0,AVERAGE(D78:E78))</f>
        <v>0</v>
      </c>
    </row>
    <row r="79" spans="1:6" customFormat="1">
      <c r="A79" s="1113">
        <f>+A78+1</f>
        <v>50</v>
      </c>
      <c r="B79" s="1121"/>
      <c r="C79" s="1121"/>
      <c r="D79" s="1122"/>
      <c r="E79" s="1122"/>
      <c r="F79" s="1123">
        <f>IF(E79="",0,AVERAGE(D79:E79))</f>
        <v>0</v>
      </c>
    </row>
    <row r="80" spans="1:6" customFormat="1" ht="18" customHeight="1">
      <c r="A80" s="1113">
        <f>+A79+1</f>
        <v>51</v>
      </c>
      <c r="B80" s="1117" t="s">
        <v>723</v>
      </c>
      <c r="C80" s="1117"/>
      <c r="D80" s="1124">
        <f>SUM(D75:D79)</f>
        <v>0</v>
      </c>
      <c r="E80" s="1124">
        <f>SUM(E75:E79)</f>
        <v>0</v>
      </c>
      <c r="F80" s="1124">
        <f>SUM(F75:F79)</f>
        <v>0</v>
      </c>
    </row>
    <row r="81" spans="1:6" customFormat="1" ht="17.25" customHeight="1">
      <c r="A81" s="1113"/>
      <c r="B81" s="1117"/>
      <c r="C81" s="1117"/>
      <c r="D81" s="1124"/>
      <c r="E81" s="1124"/>
      <c r="F81" s="1124"/>
    </row>
    <row r="82" spans="1:6" customFormat="1" ht="18.75" customHeight="1">
      <c r="A82" s="1112" t="s">
        <v>724</v>
      </c>
      <c r="B82" s="1125"/>
      <c r="C82" s="1125"/>
      <c r="D82" s="1125"/>
      <c r="E82" s="1117"/>
      <c r="F82" s="1117"/>
    </row>
    <row r="83" spans="1:6" customFormat="1" ht="31.5" customHeight="1">
      <c r="A83" s="1108"/>
      <c r="B83" s="1126"/>
      <c r="C83" s="1127"/>
      <c r="D83" s="5"/>
      <c r="E83" s="1117"/>
      <c r="F83" s="1117"/>
    </row>
    <row r="84" spans="1:6" customFormat="1" ht="21.75" customHeight="1">
      <c r="A84" s="1108">
        <f>+A80+1</f>
        <v>52</v>
      </c>
      <c r="B84" s="1128" t="s">
        <v>459</v>
      </c>
      <c r="C84" s="1128" t="s">
        <v>102</v>
      </c>
      <c r="D84" s="1129"/>
      <c r="E84" s="9"/>
      <c r="F84" s="1128"/>
    </row>
    <row r="85" spans="1:6" customFormat="1" ht="14.25">
      <c r="A85" s="1130" t="s">
        <v>725</v>
      </c>
      <c r="B85" s="1131"/>
      <c r="C85" s="1132"/>
      <c r="D85" s="440"/>
      <c r="E85" s="440"/>
      <c r="F85" s="1133">
        <f>IF(E85="",0,AVERAGE(D85:E85))</f>
        <v>0</v>
      </c>
    </row>
    <row r="86" spans="1:6" customFormat="1" ht="14.25">
      <c r="A86" s="1134" t="s">
        <v>726</v>
      </c>
      <c r="B86" s="440"/>
      <c r="C86" s="1132"/>
      <c r="D86" s="440"/>
      <c r="E86" s="440"/>
      <c r="F86" s="1135">
        <f>IF(E86="",0,AVERAGE(D86:E86))</f>
        <v>0</v>
      </c>
    </row>
    <row r="87" spans="1:6" customFormat="1" ht="18" customHeight="1">
      <c r="A87" s="1136">
        <f>A84+2</f>
        <v>54</v>
      </c>
      <c r="B87" s="9"/>
      <c r="C87" s="1137" t="s">
        <v>412</v>
      </c>
      <c r="D87" s="1105">
        <f>SUM(D85:D86)</f>
        <v>0</v>
      </c>
      <c r="E87" s="1105">
        <f>SUM(E85:E86)</f>
        <v>0</v>
      </c>
      <c r="F87" s="1105">
        <f>SUM(F85:F86)</f>
        <v>0</v>
      </c>
    </row>
    <row r="88" spans="1:6" customFormat="1">
      <c r="A88" s="1113"/>
      <c r="B88" s="1117"/>
      <c r="C88" s="1117"/>
      <c r="D88" s="1117"/>
    </row>
    <row r="89" spans="1:6">
      <c r="A89" s="1138" t="s">
        <v>727</v>
      </c>
      <c r="B89" s="1117"/>
      <c r="C89" s="1117"/>
      <c r="D89" s="1117"/>
    </row>
    <row r="90" spans="1:6">
      <c r="A90" s="1138" t="s">
        <v>728</v>
      </c>
      <c r="B90" s="1117"/>
      <c r="C90" s="1117"/>
      <c r="D90" s="1117"/>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U34"/>
  <sheetViews>
    <sheetView zoomScale="81" zoomScaleNormal="81" workbookViewId="0">
      <selection activeCell="D21" sqref="D21"/>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92" t="s">
        <v>408</v>
      </c>
    </row>
    <row r="2" spans="1:21" ht="15.75">
      <c r="A2" s="992" t="s">
        <v>408</v>
      </c>
    </row>
    <row r="3" spans="1:21" ht="18">
      <c r="A3" s="1535" t="str">
        <f>TCOS!$F$5</f>
        <v>AEPTCo subsidiaries in PJM</v>
      </c>
      <c r="B3" s="1535" t="str">
        <f>TCOS!$F$5</f>
        <v>AEPTCo subsidiaries in PJM</v>
      </c>
      <c r="C3" s="1535" t="str">
        <f>TCOS!$F$5</f>
        <v>AEPTCo subsidiaries in PJM</v>
      </c>
      <c r="D3" s="1535" t="str">
        <f>TCOS!$F$5</f>
        <v>AEPTCo subsidiaries in PJM</v>
      </c>
      <c r="E3" s="1535" t="str">
        <f>TCOS!$F$5</f>
        <v>AEPTCo subsidiaries in PJM</v>
      </c>
      <c r="F3" s="1535" t="str">
        <f>TCOS!$F$5</f>
        <v>AEPTCo subsidiaries in PJM</v>
      </c>
      <c r="G3" s="1535" t="str">
        <f>TCOS!$F$5</f>
        <v>AEPTCo subsidiaries in PJM</v>
      </c>
      <c r="H3" s="1535" t="str">
        <f>TCOS!$F$5</f>
        <v>AEPTCo subsidiaries in PJM</v>
      </c>
      <c r="I3" s="1535" t="str">
        <f>TCOS!$F$5</f>
        <v>AEPTCo subsidiaries in PJM</v>
      </c>
      <c r="J3" s="1535" t="str">
        <f>TCOS!$F$5</f>
        <v>AEPTCo subsidiaries in PJM</v>
      </c>
      <c r="K3" s="1535" t="str">
        <f>TCOS!$F$5</f>
        <v>AEPTCo subsidiaries in PJM</v>
      </c>
      <c r="L3" s="1535" t="str">
        <f>TCOS!$F$5</f>
        <v>AEPTCo subsidiaries in PJM</v>
      </c>
      <c r="M3" s="1535" t="str">
        <f>TCOS!$F$5</f>
        <v>AEPTCo subsidiaries in PJM</v>
      </c>
      <c r="N3" s="1535" t="str">
        <f>TCOS!$F$5</f>
        <v>AEPTCo subsidiaries in PJM</v>
      </c>
      <c r="O3" s="1535" t="str">
        <f>TCOS!$F$5</f>
        <v>AEPTCo subsidiaries in PJM</v>
      </c>
    </row>
    <row r="4" spans="1:21" ht="18">
      <c r="A4" s="1534" t="str">
        <f>"Cost of Service Formula Rate Using Actual/Projected FF1 Balances"</f>
        <v>Cost of Service Formula Rate Using Actual/Projected FF1 Balances</v>
      </c>
      <c r="B4" s="1534"/>
      <c r="C4" s="1534"/>
      <c r="D4" s="1534"/>
      <c r="E4" s="1534"/>
      <c r="F4" s="1534"/>
      <c r="G4" s="1534"/>
      <c r="H4" s="1534"/>
      <c r="I4" s="1534"/>
      <c r="J4" s="1534"/>
      <c r="K4" s="1534"/>
      <c r="L4" s="1534"/>
      <c r="M4" s="1534"/>
      <c r="N4" s="1534"/>
      <c r="O4" s="1534"/>
    </row>
    <row r="5" spans="1:21" ht="18">
      <c r="A5" s="1534" t="s">
        <v>24</v>
      </c>
      <c r="B5" s="1534"/>
      <c r="C5" s="1534"/>
      <c r="D5" s="1534"/>
      <c r="E5" s="1534"/>
      <c r="F5" s="1534"/>
      <c r="G5" s="1534"/>
      <c r="H5" s="1534"/>
      <c r="I5" s="1534"/>
      <c r="J5" s="1534"/>
      <c r="K5" s="1534"/>
      <c r="L5" s="1534"/>
      <c r="M5" s="1534"/>
      <c r="N5" s="1534"/>
      <c r="O5" s="1534"/>
    </row>
    <row r="6" spans="1:21" ht="18">
      <c r="A6" s="1526" t="str">
        <f>+TCOS!F9</f>
        <v>AEP Ohio Transmission Company</v>
      </c>
      <c r="B6" s="1526"/>
      <c r="C6" s="1526"/>
      <c r="D6" s="1526"/>
      <c r="E6" s="1526"/>
      <c r="F6" s="1526"/>
      <c r="G6" s="1526"/>
      <c r="H6" s="1526"/>
      <c r="I6" s="1526"/>
      <c r="J6" s="1526"/>
      <c r="K6" s="1526"/>
      <c r="L6" s="1526"/>
      <c r="M6" s="1526"/>
      <c r="N6" s="1526"/>
      <c r="O6" s="1526"/>
    </row>
    <row r="7" spans="1:21" ht="12.75" customHeight="1">
      <c r="A7" s="81"/>
      <c r="B7" s="81"/>
      <c r="C7" s="81"/>
      <c r="D7" s="81"/>
      <c r="E7" s="81"/>
      <c r="F7" s="81"/>
      <c r="G7" s="81"/>
      <c r="H7" s="81"/>
      <c r="I7" s="81"/>
      <c r="J7" s="81"/>
      <c r="K7" s="81"/>
      <c r="L7" s="81"/>
    </row>
    <row r="8" spans="1:21" ht="12.75" customHeight="1">
      <c r="A8" s="1567" t="s">
        <v>16</v>
      </c>
      <c r="B8" s="1567"/>
      <c r="C8" s="1567"/>
      <c r="D8" s="1567"/>
      <c r="E8" s="1567"/>
      <c r="F8" s="1567"/>
      <c r="G8" s="1567"/>
      <c r="H8" s="1567"/>
      <c r="I8" s="1567"/>
      <c r="J8" s="1567"/>
      <c r="K8" s="1567"/>
      <c r="L8" s="1567"/>
      <c r="M8" s="1567"/>
      <c r="N8" s="1567"/>
      <c r="O8" s="1567"/>
    </row>
    <row r="9" spans="1:21" ht="12.75" customHeight="1">
      <c r="A9" s="1567"/>
      <c r="B9" s="1567"/>
      <c r="C9" s="1567"/>
      <c r="D9" s="1567"/>
      <c r="E9" s="1567"/>
      <c r="F9" s="1567"/>
      <c r="G9" s="1567"/>
      <c r="H9" s="1567"/>
      <c r="I9" s="1567"/>
      <c r="J9" s="1567"/>
      <c r="K9" s="1567"/>
      <c r="L9" s="1567"/>
      <c r="M9" s="1567"/>
      <c r="N9" s="1567"/>
      <c r="O9" s="1567"/>
    </row>
    <row r="10" spans="1:21">
      <c r="A10" s="1567"/>
      <c r="B10" s="1567"/>
      <c r="C10" s="1567"/>
      <c r="D10" s="1567"/>
      <c r="E10" s="1567"/>
      <c r="F10" s="1567"/>
      <c r="G10" s="1567"/>
      <c r="H10" s="1567"/>
      <c r="I10" s="1567"/>
      <c r="J10" s="1567"/>
      <c r="K10" s="1567"/>
      <c r="L10" s="1567"/>
      <c r="M10" s="1567"/>
      <c r="N10" s="1567"/>
      <c r="O10" s="1567"/>
    </row>
    <row r="11" spans="1:21">
      <c r="A11" s="1567"/>
      <c r="B11" s="1567"/>
      <c r="C11" s="1567"/>
      <c r="D11" s="1567"/>
      <c r="E11" s="1567"/>
      <c r="F11" s="1567"/>
      <c r="G11" s="1567"/>
      <c r="H11" s="1567"/>
      <c r="I11" s="1567"/>
      <c r="J11" s="1567"/>
      <c r="K11" s="1567"/>
      <c r="L11" s="1567"/>
      <c r="M11" s="1567"/>
      <c r="N11" s="1567"/>
      <c r="O11" s="1567"/>
    </row>
    <row r="12" spans="1:21">
      <c r="B12" s="1" t="s">
        <v>454</v>
      </c>
      <c r="C12" s="1"/>
      <c r="D12" s="1533" t="s">
        <v>455</v>
      </c>
      <c r="E12" s="1533"/>
      <c r="F12" s="1533"/>
      <c r="G12" s="1533"/>
      <c r="H12" s="1"/>
      <c r="I12" s="1" t="s">
        <v>323</v>
      </c>
      <c r="J12" s="1"/>
      <c r="K12" s="1" t="s">
        <v>457</v>
      </c>
      <c r="L12" s="1"/>
      <c r="M12" s="1" t="s">
        <v>377</v>
      </c>
      <c r="N12" s="1"/>
      <c r="O12" s="1" t="s">
        <v>378</v>
      </c>
      <c r="P12" s="1"/>
      <c r="Q12" s="1" t="s">
        <v>349</v>
      </c>
      <c r="R12" s="1"/>
      <c r="S12" s="1" t="s">
        <v>384</v>
      </c>
      <c r="U12" s="56" t="s">
        <v>288</v>
      </c>
    </row>
    <row r="13" spans="1:21">
      <c r="I13" s="1564" t="s">
        <v>347</v>
      </c>
      <c r="Q13" s="1563" t="s">
        <v>348</v>
      </c>
      <c r="S13" s="1564" t="s">
        <v>350</v>
      </c>
      <c r="U13" s="139" t="s">
        <v>265</v>
      </c>
    </row>
    <row r="14" spans="1:21">
      <c r="A14" s="84" t="s">
        <v>346</v>
      </c>
      <c r="B14" s="84" t="s">
        <v>342</v>
      </c>
      <c r="C14" s="84"/>
      <c r="D14" s="102" t="s">
        <v>343</v>
      </c>
      <c r="E14" s="84"/>
      <c r="F14" s="84"/>
      <c r="G14" s="84"/>
      <c r="H14" s="84"/>
      <c r="I14" s="1566"/>
      <c r="J14" s="84"/>
      <c r="K14" s="84" t="s">
        <v>344</v>
      </c>
      <c r="L14" s="84"/>
      <c r="M14" s="84" t="s">
        <v>345</v>
      </c>
      <c r="N14" s="84"/>
      <c r="O14" s="84" t="s">
        <v>282</v>
      </c>
      <c r="Q14" s="1563"/>
      <c r="S14" s="1564"/>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7"/>
      <c r="D17" s="1565"/>
      <c r="E17" s="1565"/>
      <c r="F17" s="1565"/>
      <c r="G17" s="1565"/>
      <c r="I17" s="858"/>
      <c r="K17" s="856"/>
      <c r="L17" s="75"/>
      <c r="M17" s="856"/>
      <c r="O17" s="88">
        <f>+K17-M17</f>
        <v>0</v>
      </c>
      <c r="Q17" s="104">
        <f>IF(I17="G",TCOS!L219,IF(I17="T",1,0))</f>
        <v>0</v>
      </c>
      <c r="S17" s="88">
        <f>ROUND(O17*Q17,0)</f>
        <v>0</v>
      </c>
      <c r="U17" s="859"/>
    </row>
    <row r="18" spans="1:21">
      <c r="A18" s="1"/>
      <c r="D18" s="1565"/>
      <c r="E18" s="1565"/>
      <c r="F18" s="1565"/>
      <c r="G18" s="1565"/>
      <c r="K18" s="75"/>
      <c r="L18" s="75"/>
      <c r="M18" s="75"/>
      <c r="O18" s="75"/>
      <c r="Q18" s="104"/>
      <c r="S18" s="75"/>
    </row>
    <row r="19" spans="1:21">
      <c r="A19" s="1"/>
      <c r="D19" s="1565"/>
      <c r="E19" s="1565"/>
      <c r="F19" s="1565"/>
      <c r="G19" s="1565"/>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565"/>
      <c r="E22" s="1565"/>
      <c r="F22" s="1565"/>
      <c r="G22" s="1565"/>
      <c r="I22" s="858"/>
      <c r="K22" s="856"/>
      <c r="L22" s="75"/>
      <c r="M22" s="856"/>
      <c r="O22" s="88">
        <f>+K22-M22</f>
        <v>0</v>
      </c>
      <c r="Q22" s="104">
        <f>IF(I22="G",TCOS!L219,IF(I22="T",1,0))</f>
        <v>0</v>
      </c>
      <c r="S22" s="88">
        <f>ROUND(O22*Q22,0)</f>
        <v>0</v>
      </c>
      <c r="U22" s="859"/>
    </row>
    <row r="23" spans="1:21">
      <c r="A23" s="1"/>
      <c r="D23" s="1565"/>
      <c r="E23" s="1565"/>
      <c r="F23" s="1565"/>
      <c r="G23" s="1565"/>
      <c r="K23" s="75"/>
      <c r="L23" s="75"/>
      <c r="M23" s="75"/>
      <c r="O23" s="75"/>
      <c r="Q23" s="104"/>
      <c r="S23" s="75"/>
    </row>
    <row r="24" spans="1:21">
      <c r="A24" s="1"/>
      <c r="D24" s="1565"/>
      <c r="E24" s="1565"/>
      <c r="F24" s="1565"/>
      <c r="G24" s="1565"/>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565"/>
      <c r="E27" s="1565"/>
      <c r="F27" s="1565"/>
      <c r="G27" s="1565"/>
      <c r="I27" s="858"/>
      <c r="K27" s="856"/>
      <c r="L27" s="75"/>
      <c r="M27" s="856"/>
      <c r="O27" s="88">
        <f>+K27-M27</f>
        <v>0</v>
      </c>
      <c r="Q27" s="104">
        <f>IF(I27="G",TCOS!L219,IF(I27="T",1,0))</f>
        <v>0</v>
      </c>
      <c r="S27" s="88">
        <f>ROUND(O27*Q27,0)</f>
        <v>0</v>
      </c>
      <c r="U27" s="859"/>
    </row>
    <row r="28" spans="1:21">
      <c r="A28" s="1"/>
      <c r="D28" s="1565"/>
      <c r="E28" s="1565"/>
      <c r="F28" s="1565"/>
      <c r="G28" s="1565"/>
      <c r="K28" s="75"/>
      <c r="L28" s="75"/>
      <c r="M28" s="75"/>
      <c r="O28" s="75"/>
      <c r="Q28" s="104"/>
      <c r="S28" s="75"/>
    </row>
    <row r="29" spans="1:21">
      <c r="A29" s="1"/>
      <c r="D29" s="1565"/>
      <c r="E29" s="1565"/>
      <c r="F29" s="1565"/>
      <c r="G29" s="1565"/>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sheetPr>
  <dimension ref="A1:F37"/>
  <sheetViews>
    <sheetView view="pageBreakPreview" zoomScale="90" zoomScaleNormal="80" zoomScaleSheetLayoutView="90" workbookViewId="0">
      <selection activeCell="D22" sqref="D22"/>
    </sheetView>
  </sheetViews>
  <sheetFormatPr defaultColWidth="11.42578125" defaultRowHeight="12.75"/>
  <cols>
    <col min="1" max="1" width="37.85546875" style="1254" customWidth="1"/>
    <col min="2" max="2" width="25.42578125" style="1254" customWidth="1"/>
    <col min="3" max="3" width="53.42578125" style="1254" customWidth="1"/>
    <col min="4" max="4" width="18.42578125" style="1254" customWidth="1"/>
    <col min="5" max="5" width="11.42578125" style="1254" customWidth="1"/>
    <col min="6" max="6" width="13.7109375" style="1254" bestFit="1" customWidth="1"/>
    <col min="7" max="16384" width="11.42578125" style="1254"/>
  </cols>
  <sheetData>
    <row r="1" spans="1:6" ht="15.75">
      <c r="A1" s="1253" t="s">
        <v>408</v>
      </c>
    </row>
    <row r="2" spans="1:6" ht="15.75">
      <c r="A2" s="1253" t="s">
        <v>408</v>
      </c>
    </row>
    <row r="3" spans="1:6" ht="15.75">
      <c r="A3" s="1569" t="str">
        <f>TCOS!F5</f>
        <v>AEPTCo subsidiaries in PJM</v>
      </c>
      <c r="B3" s="1569" t="s">
        <v>321</v>
      </c>
      <c r="C3" s="1569" t="s">
        <v>321</v>
      </c>
      <c r="D3" s="1569" t="s">
        <v>321</v>
      </c>
    </row>
    <row r="4" spans="1:6" ht="15.75">
      <c r="A4" s="1569" t="str">
        <f>"Cost of Service Formula Rate Using Actual/Projected FF1 Balances"</f>
        <v>Cost of Service Formula Rate Using Actual/Projected FF1 Balances</v>
      </c>
      <c r="B4" s="1569"/>
      <c r="C4" s="1569"/>
      <c r="D4" s="1569"/>
    </row>
    <row r="5" spans="1:6" ht="15.75">
      <c r="A5" s="1569" t="s">
        <v>775</v>
      </c>
      <c r="B5" s="1569"/>
      <c r="C5" s="1569"/>
      <c r="D5" s="1569"/>
    </row>
    <row r="6" spans="1:6" ht="15.75">
      <c r="A6" s="1569" t="s">
        <v>776</v>
      </c>
      <c r="B6" s="1569"/>
      <c r="C6" s="1569"/>
      <c r="D6" s="1569"/>
    </row>
    <row r="7" spans="1:6" ht="15.75">
      <c r="A7" s="1570" t="str">
        <f>TCOS!F9</f>
        <v>AEP Ohio Transmission Company</v>
      </c>
      <c r="B7" s="1570"/>
      <c r="C7" s="1570"/>
      <c r="D7" s="1570"/>
    </row>
    <row r="8" spans="1:6" ht="15.75">
      <c r="A8" s="1256"/>
      <c r="B8" s="1257"/>
      <c r="C8" s="1257"/>
      <c r="D8" s="1257"/>
    </row>
    <row r="9" spans="1:6" ht="15.75">
      <c r="A9" s="1258"/>
      <c r="B9" s="1259"/>
      <c r="C9" s="1259"/>
      <c r="D9" s="1259"/>
    </row>
    <row r="10" spans="1:6" ht="15.75">
      <c r="A10" s="1260"/>
      <c r="B10" s="1260"/>
      <c r="C10" s="1260"/>
      <c r="D10" s="1260"/>
    </row>
    <row r="11" spans="1:6" ht="15.75">
      <c r="A11" s="1261" t="s">
        <v>777</v>
      </c>
      <c r="B11" s="1259" t="s">
        <v>454</v>
      </c>
      <c r="C11" s="1262"/>
      <c r="D11" s="1259" t="s">
        <v>455</v>
      </c>
    </row>
    <row r="12" spans="1:6" ht="15.75">
      <c r="A12" s="1255">
        <f>1</f>
        <v>1</v>
      </c>
      <c r="B12" s="1263" t="s">
        <v>778</v>
      </c>
      <c r="C12" s="1264"/>
      <c r="D12" s="1255"/>
    </row>
    <row r="13" spans="1:6" ht="15.75">
      <c r="A13" s="1255"/>
      <c r="B13" s="1263"/>
      <c r="C13" s="1264"/>
      <c r="D13" s="1255"/>
    </row>
    <row r="14" spans="1:6" ht="15.75">
      <c r="A14" s="1255"/>
      <c r="B14" s="1265"/>
      <c r="C14" s="1265"/>
      <c r="D14" s="1265"/>
    </row>
    <row r="15" spans="1:6" ht="15.75">
      <c r="A15" s="1255">
        <f>A12+1</f>
        <v>2</v>
      </c>
      <c r="B15" s="1266" t="s">
        <v>779</v>
      </c>
      <c r="C15" s="1267"/>
      <c r="D15" s="1268"/>
    </row>
    <row r="16" spans="1:6" ht="15.75">
      <c r="A16" s="1255">
        <f t="shared" ref="A16:A23" si="0">+A15+1</f>
        <v>3</v>
      </c>
      <c r="B16" s="1269" t="s">
        <v>780</v>
      </c>
      <c r="C16" s="1269"/>
      <c r="D16" s="1452">
        <f>-108026950+725464</f>
        <v>-107301486</v>
      </c>
      <c r="F16" s="1270"/>
    </row>
    <row r="17" spans="1:6" ht="15.75">
      <c r="A17" s="1255">
        <f t="shared" si="0"/>
        <v>4</v>
      </c>
      <c r="B17" s="1269" t="s">
        <v>781</v>
      </c>
      <c r="C17" s="1269"/>
      <c r="D17" s="1271">
        <v>0</v>
      </c>
      <c r="F17" s="1270"/>
    </row>
    <row r="18" spans="1:6" ht="15.75">
      <c r="A18" s="1255">
        <f t="shared" si="0"/>
        <v>5</v>
      </c>
      <c r="B18" s="1269" t="s">
        <v>782</v>
      </c>
      <c r="C18" s="1269"/>
      <c r="D18" s="1272">
        <f>+D16-D17</f>
        <v>-107301486</v>
      </c>
    </row>
    <row r="19" spans="1:6" ht="15.75">
      <c r="A19" s="1255">
        <f t="shared" si="0"/>
        <v>6</v>
      </c>
      <c r="B19" s="1269" t="s">
        <v>783</v>
      </c>
      <c r="C19" s="1269"/>
      <c r="D19" s="1452">
        <v>1641378842.3199933</v>
      </c>
    </row>
    <row r="20" spans="1:6" ht="15.75">
      <c r="A20" s="1255">
        <f t="shared" si="0"/>
        <v>7</v>
      </c>
      <c r="B20" s="1269" t="s">
        <v>784</v>
      </c>
      <c r="C20" s="1269"/>
      <c r="D20" s="1273">
        <f>+D18/D19</f>
        <v>-6.5372772716099842E-2</v>
      </c>
    </row>
    <row r="21" spans="1:6" ht="15.75">
      <c r="A21" s="1255">
        <f t="shared" si="0"/>
        <v>8</v>
      </c>
      <c r="B21" s="1269" t="s">
        <v>785</v>
      </c>
      <c r="C21" s="1269"/>
      <c r="D21" s="1325">
        <v>-7.8E-2</v>
      </c>
      <c r="E21" s="1274"/>
    </row>
    <row r="22" spans="1:6" ht="15.75">
      <c r="A22" s="1255">
        <f t="shared" si="0"/>
        <v>9</v>
      </c>
      <c r="B22" s="1269" t="s">
        <v>786</v>
      </c>
      <c r="C22" s="1269"/>
      <c r="D22" s="1275">
        <v>15048396.755450299</v>
      </c>
    </row>
    <row r="23" spans="1:6" ht="15.75">
      <c r="A23" s="1255">
        <f t="shared" si="0"/>
        <v>10</v>
      </c>
      <c r="B23" s="1269" t="str">
        <f>"Allowable TransCo PBOP Expense for current year (Ln "&amp;A21&amp;" * Ln "&amp;A22&amp;")"</f>
        <v>Allowable TransCo PBOP Expense for current year (Ln 8 * Ln 9)</v>
      </c>
      <c r="C23" s="1269"/>
      <c r="D23" s="1276">
        <f>+D21*D22</f>
        <v>-1173774.9469251232</v>
      </c>
    </row>
    <row r="24" spans="1:6" ht="15.75">
      <c r="A24" s="1255"/>
      <c r="B24" s="1269"/>
      <c r="C24" s="1269"/>
      <c r="D24" s="1276"/>
    </row>
    <row r="25" spans="1:6" ht="15.75">
      <c r="A25" s="1255"/>
      <c r="B25" s="1269"/>
      <c r="C25" s="1269"/>
      <c r="D25" s="1276"/>
    </row>
    <row r="26" spans="1:6" ht="15.75">
      <c r="A26" s="1255">
        <f>+A23+1</f>
        <v>11</v>
      </c>
      <c r="B26" s="1277" t="s">
        <v>787</v>
      </c>
      <c r="C26" s="1269"/>
      <c r="D26" s="1278">
        <v>0</v>
      </c>
    </row>
    <row r="27" spans="1:6" ht="15.75">
      <c r="A27" s="1255">
        <f>+A26+1</f>
        <v>12</v>
      </c>
      <c r="B27" s="1279" t="s">
        <v>788</v>
      </c>
      <c r="C27" s="1269"/>
      <c r="D27" s="1278">
        <v>0</v>
      </c>
    </row>
    <row r="28" spans="1:6" ht="15.75">
      <c r="A28" s="1255">
        <f>+A27+1</f>
        <v>13</v>
      </c>
      <c r="B28" s="1279" t="s">
        <v>789</v>
      </c>
      <c r="C28" s="1269"/>
      <c r="D28" s="1278">
        <v>0</v>
      </c>
    </row>
    <row r="29" spans="1:6" ht="16.5" thickBot="1">
      <c r="A29" s="1280">
        <f>+A28+1</f>
        <v>14</v>
      </c>
      <c r="B29" s="1281" t="s">
        <v>790</v>
      </c>
      <c r="C29" s="1282"/>
      <c r="D29" s="1283">
        <v>-1682208.6662021412</v>
      </c>
    </row>
    <row r="30" spans="1:6" ht="15.75">
      <c r="A30" s="1255">
        <f>+A29+1</f>
        <v>15</v>
      </c>
      <c r="B30" s="1265" t="s">
        <v>791</v>
      </c>
      <c r="C30" s="1265" t="str">
        <f>"(Sum Lines "&amp;A26&amp;"-"&amp;A29&amp;")"</f>
        <v>(Sum Lines 11-14)</v>
      </c>
      <c r="D30" s="1284">
        <f>SUM(D26:D29)</f>
        <v>-1682208.6662021412</v>
      </c>
    </row>
    <row r="31" spans="1:6" ht="15.75">
      <c r="A31" s="1255"/>
      <c r="B31" s="1265"/>
      <c r="C31" s="1265"/>
      <c r="D31" s="1284"/>
    </row>
    <row r="32" spans="1:6" ht="15.75">
      <c r="A32" s="1255"/>
      <c r="B32" s="1265"/>
      <c r="C32" s="1265"/>
      <c r="D32" s="1284"/>
    </row>
    <row r="33" spans="1:4" s="1286" customFormat="1" ht="15.75">
      <c r="A33" s="1255">
        <f>A30+1</f>
        <v>16</v>
      </c>
      <c r="B33" s="1265" t="s">
        <v>792</v>
      </c>
      <c r="C33" s="1265" t="str">
        <f>"Line "&amp;A23&amp;" less Line "&amp;A30&amp;""</f>
        <v>Line 10 less Line 15</v>
      </c>
      <c r="D33" s="1285">
        <f>D23-D30</f>
        <v>508433.71927701798</v>
      </c>
    </row>
    <row r="34" spans="1:4" s="1286" customFormat="1" ht="15.75">
      <c r="A34" s="1255"/>
      <c r="B34" s="1265"/>
      <c r="C34" s="1265"/>
      <c r="D34" s="1285"/>
    </row>
    <row r="35" spans="1:4" ht="15.75">
      <c r="A35" s="1279" t="s">
        <v>793</v>
      </c>
    </row>
    <row r="37" spans="1:4" ht="387.75" customHeight="1">
      <c r="A37" s="1568" t="s">
        <v>794</v>
      </c>
      <c r="B37" s="1568"/>
      <c r="C37" s="1568"/>
      <c r="D37" s="1568"/>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1">
    <pageSetUpPr fitToPage="1"/>
  </sheetPr>
  <dimension ref="A1:G50"/>
  <sheetViews>
    <sheetView defaultGridColor="0" view="pageBreakPreview" colorId="22" zoomScale="60" zoomScaleNormal="70" workbookViewId="0">
      <selection activeCell="E13" sqref="E13"/>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992" t="s">
        <v>408</v>
      </c>
    </row>
    <row r="2" spans="1:7" ht="15.75">
      <c r="A2" s="992" t="s">
        <v>408</v>
      </c>
    </row>
    <row r="3" spans="1:7" ht="19.5">
      <c r="B3" s="1576" t="s">
        <v>321</v>
      </c>
      <c r="C3" s="1576"/>
      <c r="D3" s="1576"/>
      <c r="E3" s="1576"/>
      <c r="F3" s="860"/>
      <c r="G3" s="860"/>
    </row>
    <row r="4" spans="1:7" ht="19.5">
      <c r="B4" s="1576" t="s">
        <v>216</v>
      </c>
      <c r="C4" s="1576"/>
      <c r="D4" s="1576"/>
      <c r="E4" s="1576"/>
      <c r="F4" s="860"/>
      <c r="G4" s="860"/>
    </row>
    <row r="5" spans="1:7" ht="19.5">
      <c r="B5" s="1576" t="s">
        <v>217</v>
      </c>
      <c r="C5" s="1576"/>
      <c r="D5" s="1576"/>
      <c r="E5" s="1576"/>
      <c r="F5" s="860"/>
      <c r="G5" s="860"/>
    </row>
    <row r="6" spans="1:7" ht="19.5">
      <c r="B6" s="1576" t="s">
        <v>218</v>
      </c>
      <c r="C6" s="1576"/>
      <c r="D6" s="1576"/>
      <c r="E6" s="1576"/>
      <c r="F6" s="860"/>
      <c r="G6" s="860"/>
    </row>
    <row r="7" spans="1:7" ht="19.5">
      <c r="B7" s="1577" t="s">
        <v>984</v>
      </c>
      <c r="C7" s="1577"/>
      <c r="D7" s="1577"/>
      <c r="E7" s="1577"/>
      <c r="F7" s="860"/>
      <c r="G7" s="860"/>
    </row>
    <row r="8" spans="1:7" ht="19.5">
      <c r="B8" s="1576"/>
      <c r="C8" s="1576"/>
      <c r="D8" s="1576"/>
      <c r="E8" s="1576"/>
      <c r="F8" s="860"/>
      <c r="G8" s="860"/>
    </row>
    <row r="9" spans="1:7" ht="19.5">
      <c r="B9" s="1575" t="s">
        <v>798</v>
      </c>
      <c r="C9" s="1468"/>
      <c r="D9" s="1468"/>
      <c r="E9" s="1468"/>
      <c r="F9" s="860"/>
      <c r="G9" s="860"/>
    </row>
    <row r="11" spans="1:7">
      <c r="B11" s="862"/>
      <c r="C11" s="862"/>
      <c r="D11" s="863"/>
    </row>
    <row r="12" spans="1:7" ht="15.75">
      <c r="B12" s="862"/>
      <c r="C12" s="864" t="s">
        <v>33</v>
      </c>
      <c r="D12" s="864" t="s">
        <v>35</v>
      </c>
    </row>
    <row r="13" spans="1:7" ht="16.5" thickBot="1">
      <c r="B13" s="863"/>
      <c r="C13" s="864" t="s">
        <v>34</v>
      </c>
      <c r="D13" s="865" t="s">
        <v>287</v>
      </c>
    </row>
    <row r="14" spans="1:7">
      <c r="B14" s="866" t="s">
        <v>36</v>
      </c>
      <c r="C14" s="867"/>
      <c r="D14" s="131"/>
    </row>
    <row r="15" spans="1:7">
      <c r="B15" s="868"/>
      <c r="C15" s="869"/>
      <c r="D15" s="132"/>
    </row>
    <row r="16" spans="1:7">
      <c r="B16" s="1298" t="s">
        <v>985</v>
      </c>
      <c r="C16" s="1299">
        <v>351</v>
      </c>
      <c r="D16" s="140">
        <v>0</v>
      </c>
    </row>
    <row r="17" spans="2:6">
      <c r="B17" s="871" t="s">
        <v>986</v>
      </c>
      <c r="C17" s="1299">
        <v>352</v>
      </c>
      <c r="D17" s="1300">
        <v>1.95E-2</v>
      </c>
      <c r="E17" s="1300"/>
      <c r="F17" s="1300"/>
    </row>
    <row r="18" spans="2:6">
      <c r="B18" s="871" t="s">
        <v>987</v>
      </c>
      <c r="C18" s="1299">
        <v>353</v>
      </c>
      <c r="D18" s="1300">
        <v>2.4299999999999999E-2</v>
      </c>
    </row>
    <row r="19" spans="2:6">
      <c r="B19" s="871" t="s">
        <v>988</v>
      </c>
      <c r="C19" s="1299">
        <v>354</v>
      </c>
      <c r="D19" s="1300">
        <v>2.2700000000000001E-2</v>
      </c>
    </row>
    <row r="20" spans="2:6">
      <c r="B20" s="871" t="s">
        <v>989</v>
      </c>
      <c r="C20" s="1299">
        <v>355</v>
      </c>
      <c r="D20" s="1300">
        <v>3.5299999999999998E-2</v>
      </c>
      <c r="E20" s="1300"/>
    </row>
    <row r="21" spans="2:6">
      <c r="B21" s="871" t="s">
        <v>990</v>
      </c>
      <c r="C21" s="1299">
        <v>356</v>
      </c>
      <c r="D21" s="1300">
        <v>2.3E-2</v>
      </c>
      <c r="E21" s="1301"/>
    </row>
    <row r="22" spans="2:6">
      <c r="B22" s="871" t="s">
        <v>991</v>
      </c>
      <c r="C22" s="1299">
        <v>357</v>
      </c>
      <c r="D22" s="1300">
        <v>2.5899999999999999E-2</v>
      </c>
    </row>
    <row r="23" spans="2:6">
      <c r="B23" s="871" t="s">
        <v>992</v>
      </c>
      <c r="C23" s="1299">
        <v>358</v>
      </c>
      <c r="D23" s="1300">
        <v>3.09E-2</v>
      </c>
    </row>
    <row r="24" spans="2:6">
      <c r="B24" s="871"/>
      <c r="C24" s="1299"/>
      <c r="D24" s="1300"/>
    </row>
    <row r="25" spans="2:6" ht="15.75" thickBot="1">
      <c r="B25" s="871"/>
      <c r="C25" s="1299"/>
      <c r="D25" s="1300"/>
    </row>
    <row r="26" spans="2:6">
      <c r="B26" s="866" t="s">
        <v>970</v>
      </c>
      <c r="C26" s="867"/>
      <c r="D26" s="131"/>
    </row>
    <row r="27" spans="2:6">
      <c r="B27" s="1404"/>
      <c r="C27" s="1405"/>
      <c r="D27" s="140"/>
    </row>
    <row r="28" spans="2:6">
      <c r="B28" s="1404" t="s">
        <v>986</v>
      </c>
      <c r="C28" s="1405">
        <v>390</v>
      </c>
      <c r="D28" s="1406">
        <v>2.6499999999999999E-2</v>
      </c>
    </row>
    <row r="29" spans="2:6">
      <c r="B29" s="1404" t="s">
        <v>993</v>
      </c>
      <c r="C29" s="1405">
        <v>391</v>
      </c>
      <c r="D29" s="1406">
        <v>3.73E-2</v>
      </c>
    </row>
    <row r="30" spans="2:6">
      <c r="B30" s="1404" t="s">
        <v>994</v>
      </c>
      <c r="C30" s="1405">
        <v>392</v>
      </c>
      <c r="D30" s="1406">
        <v>0</v>
      </c>
    </row>
    <row r="31" spans="2:6">
      <c r="B31" s="1404" t="s">
        <v>971</v>
      </c>
      <c r="C31" s="1405">
        <v>393</v>
      </c>
      <c r="D31" s="1406">
        <v>4.4299999999999999E-2</v>
      </c>
    </row>
    <row r="32" spans="2:6">
      <c r="B32" s="1404" t="s">
        <v>995</v>
      </c>
      <c r="C32" s="1405">
        <v>394</v>
      </c>
      <c r="D32" s="1406">
        <v>4.5900000000000003E-2</v>
      </c>
    </row>
    <row r="33" spans="1:7">
      <c r="B33" s="1404" t="s">
        <v>972</v>
      </c>
      <c r="C33" s="1405">
        <v>395</v>
      </c>
      <c r="D33" s="1406">
        <v>5.0099999999999999E-2</v>
      </c>
    </row>
    <row r="34" spans="1:7">
      <c r="B34" s="1404" t="s">
        <v>996</v>
      </c>
      <c r="C34" s="1405">
        <v>397</v>
      </c>
      <c r="D34" s="1406">
        <v>4.87E-2</v>
      </c>
    </row>
    <row r="35" spans="1:7">
      <c r="B35" s="1404" t="s">
        <v>997</v>
      </c>
      <c r="C35" s="1405">
        <v>398</v>
      </c>
      <c r="D35" s="1406">
        <v>4.24E-2</v>
      </c>
    </row>
    <row r="36" spans="1:7">
      <c r="B36" s="871"/>
      <c r="C36" s="1299"/>
      <c r="D36" s="1300"/>
    </row>
    <row r="37" spans="1:7">
      <c r="B37" s="871"/>
      <c r="C37" s="1299"/>
      <c r="D37" s="1300"/>
    </row>
    <row r="38" spans="1:7">
      <c r="B38" s="871"/>
      <c r="C38" s="1299"/>
      <c r="D38" s="1300"/>
    </row>
    <row r="40" spans="1:7" ht="61.5" customHeight="1">
      <c r="B40" s="1571" t="s">
        <v>998</v>
      </c>
      <c r="C40" s="1572"/>
      <c r="D40" s="1572"/>
      <c r="E40" s="1572"/>
      <c r="F40" s="1300"/>
      <c r="G40" s="869"/>
    </row>
    <row r="41" spans="1:7" ht="16.5" customHeight="1">
      <c r="B41" s="1302"/>
      <c r="C41" s="1303"/>
      <c r="D41" s="1303"/>
      <c r="E41" s="1303"/>
      <c r="F41" s="1300"/>
      <c r="G41" s="869"/>
    </row>
    <row r="42" spans="1:7" ht="13.5" customHeight="1">
      <c r="A42" s="871"/>
      <c r="B42" s="1304" t="s">
        <v>64</v>
      </c>
      <c r="C42" s="1305" t="s">
        <v>835</v>
      </c>
      <c r="D42" s="1305" t="s">
        <v>836</v>
      </c>
      <c r="E42" s="1306" t="s">
        <v>539</v>
      </c>
    </row>
    <row r="43" spans="1:7">
      <c r="A43" s="870">
        <v>1</v>
      </c>
      <c r="B43" s="1307" t="s">
        <v>538</v>
      </c>
      <c r="C43" s="1308">
        <v>619883849</v>
      </c>
      <c r="D43" s="1308">
        <v>1164351684</v>
      </c>
      <c r="E43" s="1309">
        <f>C43+D43</f>
        <v>1784235533</v>
      </c>
    </row>
    <row r="44" spans="1:7">
      <c r="A44" s="870">
        <f>A43+1</f>
        <v>2</v>
      </c>
      <c r="B44" s="1307" t="s">
        <v>537</v>
      </c>
      <c r="C44" s="1308">
        <v>570478232</v>
      </c>
      <c r="D44" s="1308">
        <v>1109431387</v>
      </c>
      <c r="E44" s="1309">
        <f>C44+D44</f>
        <v>1679909619</v>
      </c>
    </row>
    <row r="45" spans="1:7">
      <c r="A45" s="870">
        <f>A44+1</f>
        <v>3</v>
      </c>
      <c r="B45" s="1307" t="s">
        <v>222</v>
      </c>
      <c r="C45" s="1308">
        <f>AVERAGE(C43:C44)</f>
        <v>595181040.5</v>
      </c>
      <c r="D45" s="1308">
        <f>AVERAGE(D43:D44)</f>
        <v>1136891535.5</v>
      </c>
      <c r="E45" s="1309">
        <f>C45+D45</f>
        <v>1732072576</v>
      </c>
    </row>
    <row r="46" spans="1:7">
      <c r="A46" s="870">
        <f>A45+1</f>
        <v>4</v>
      </c>
      <c r="B46" s="1310" t="s">
        <v>540</v>
      </c>
      <c r="C46" s="1308">
        <v>12769913</v>
      </c>
      <c r="D46" s="1308">
        <v>25505773</v>
      </c>
      <c r="E46" s="1309">
        <f>C46+D46</f>
        <v>38275686</v>
      </c>
    </row>
    <row r="47" spans="1:7" ht="15.75">
      <c r="A47" s="870">
        <f>A46+1</f>
        <v>5</v>
      </c>
      <c r="B47" s="1311" t="s">
        <v>37</v>
      </c>
      <c r="C47" s="1407" t="s">
        <v>408</v>
      </c>
      <c r="D47" s="1407" t="s">
        <v>408</v>
      </c>
      <c r="E47" s="1408">
        <f>E46/E45</f>
        <v>2.2098199885129986E-2</v>
      </c>
    </row>
    <row r="48" spans="1:7">
      <c r="B48" s="870"/>
      <c r="C48" s="871"/>
      <c r="D48" s="870"/>
      <c r="E48" s="870"/>
      <c r="F48" s="1409"/>
      <c r="G48" s="1409"/>
    </row>
    <row r="49" spans="2:7" ht="93.6" customHeight="1">
      <c r="B49" s="1573" t="s">
        <v>837</v>
      </c>
      <c r="C49" s="1574"/>
      <c r="D49" s="1574"/>
      <c r="E49" s="1574"/>
      <c r="F49" s="1297"/>
      <c r="G49" s="1297"/>
    </row>
    <row r="50" spans="2:7" ht="15" customHeight="1">
      <c r="F50" s="1297"/>
      <c r="G50" s="1297"/>
    </row>
  </sheetData>
  <mergeCells count="9">
    <mergeCell ref="B40:E40"/>
    <mergeCell ref="B49:E49"/>
    <mergeCell ref="B9:E9"/>
    <mergeCell ref="B3:E3"/>
    <mergeCell ref="B4:E4"/>
    <mergeCell ref="B5:E5"/>
    <mergeCell ref="B6:E6"/>
    <mergeCell ref="B7:E7"/>
    <mergeCell ref="B8:E8"/>
  </mergeCells>
  <phoneticPr fontId="2" type="noConversion"/>
  <conditionalFormatting sqref="F4:G9 H3:IV10 B3:B9 C4:E8 B11:IV11 B51:IV65536">
    <cfRule type="cellIs" dxfId="9" priority="10" stopIfTrue="1" operator="lessThan">
      <formula>0</formula>
    </cfRule>
  </conditionalFormatting>
  <conditionalFormatting sqref="D48 H47:IV50 G42:IV46 B41 D14:D15 B48 F48:G48 F40:IV41 D12 E12:IV39 B12:C15">
    <cfRule type="cellIs" dxfId="8" priority="9" stopIfTrue="1" operator="lessThan">
      <formula>0</formula>
    </cfRule>
  </conditionalFormatting>
  <conditionalFormatting sqref="B16:B25 B36:B38">
    <cfRule type="cellIs" dxfId="7" priority="8" stopIfTrue="1" operator="lessThan">
      <formula>0</formula>
    </cfRule>
  </conditionalFormatting>
  <conditionalFormatting sqref="C16:C25 C36:C38">
    <cfRule type="cellIs" dxfId="6" priority="7" stopIfTrue="1" operator="lessThan">
      <formula>0</formula>
    </cfRule>
  </conditionalFormatting>
  <conditionalFormatting sqref="D16:D25 D36:D38">
    <cfRule type="cellIs" dxfId="5" priority="6" stopIfTrue="1" operator="lessThan">
      <formula>0</formula>
    </cfRule>
  </conditionalFormatting>
  <conditionalFormatting sqref="B40">
    <cfRule type="cellIs" dxfId="4" priority="5" stopIfTrue="1" operator="lessThan">
      <formula>0</formula>
    </cfRule>
  </conditionalFormatting>
  <conditionalFormatting sqref="C42:E47 B42:B46 A42:A47">
    <cfRule type="cellIs" dxfId="3" priority="4" stopIfTrue="1" operator="lessThan">
      <formula>0</formula>
    </cfRule>
  </conditionalFormatting>
  <conditionalFormatting sqref="B49">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5"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39"/>
  <sheetViews>
    <sheetView view="pageBreakPreview" topLeftCell="A25" zoomScale="75" zoomScaleNormal="75" zoomScaleSheetLayoutView="75" workbookViewId="0">
      <selection activeCell="A3" sqref="A3:J3"/>
    </sheetView>
  </sheetViews>
  <sheetFormatPr defaultRowHeight="12.75"/>
  <cols>
    <col min="1" max="1" width="4.5703125" style="872" customWidth="1"/>
    <col min="2" max="2" width="68.140625" style="872" customWidth="1"/>
    <col min="3" max="3" width="18.140625" style="872" customWidth="1"/>
    <col min="4" max="4" width="2.140625" style="872" customWidth="1"/>
    <col min="5" max="5" width="17.28515625" style="872" customWidth="1"/>
    <col min="6" max="6" width="16.28515625" style="872" customWidth="1"/>
    <col min="7" max="7" width="14.5703125" style="872" customWidth="1"/>
    <col min="8" max="8" width="17.5703125" style="872" customWidth="1"/>
    <col min="9" max="9" width="14.42578125" style="872" customWidth="1"/>
    <col min="10" max="10" width="15.7109375" style="872" customWidth="1"/>
    <col min="11" max="16384" width="9.140625" style="872"/>
  </cols>
  <sheetData>
    <row r="1" spans="1:10" ht="15.75">
      <c r="A1" s="992" t="s">
        <v>408</v>
      </c>
    </row>
    <row r="2" spans="1:10" ht="15.75">
      <c r="A2" s="992" t="s">
        <v>408</v>
      </c>
    </row>
    <row r="3" spans="1:10">
      <c r="A3" s="1579" t="s">
        <v>507</v>
      </c>
      <c r="B3" s="1579"/>
      <c r="C3" s="1579"/>
      <c r="D3" s="1579"/>
      <c r="E3" s="1579"/>
      <c r="F3" s="1579"/>
      <c r="G3" s="1579"/>
      <c r="H3" s="1579"/>
      <c r="I3" s="1579"/>
      <c r="J3" s="1579"/>
    </row>
    <row r="4" spans="1:10">
      <c r="A4" s="1579" t="str">
        <f>"Consolidation of Operating Companies' Capital Structure @ December 31, "&amp;TCOS!L4&amp;""</f>
        <v>Consolidation of Operating Companies' Capital Structure @ December 31, 2023</v>
      </c>
      <c r="B4" s="1579"/>
      <c r="C4" s="1579"/>
      <c r="D4" s="1579"/>
      <c r="E4" s="1579"/>
      <c r="F4" s="1579"/>
      <c r="G4" s="1579"/>
      <c r="H4" s="1579"/>
      <c r="I4" s="1579"/>
      <c r="J4" s="1579"/>
    </row>
    <row r="5" spans="1:10">
      <c r="A5" s="1579" t="s">
        <v>248</v>
      </c>
      <c r="B5" s="1579"/>
      <c r="C5" s="1579"/>
      <c r="D5" s="1579"/>
      <c r="E5" s="1579"/>
      <c r="F5" s="1579"/>
      <c r="G5" s="1579"/>
      <c r="H5" s="1579"/>
      <c r="I5" s="1579"/>
      <c r="J5" s="1579"/>
    </row>
    <row r="7" spans="1:10" ht="76.5">
      <c r="A7" s="872" t="s">
        <v>461</v>
      </c>
      <c r="C7" s="873" t="s">
        <v>508</v>
      </c>
      <c r="D7" s="873"/>
      <c r="E7" s="873" t="s">
        <v>509</v>
      </c>
      <c r="F7" s="873" t="s">
        <v>510</v>
      </c>
      <c r="G7" s="873" t="s">
        <v>511</v>
      </c>
      <c r="H7" s="873" t="s">
        <v>512</v>
      </c>
      <c r="I7" s="873" t="s">
        <v>513</v>
      </c>
      <c r="J7" s="873" t="s">
        <v>514</v>
      </c>
    </row>
    <row r="8" spans="1:10" ht="15">
      <c r="A8" s="846" t="s">
        <v>515</v>
      </c>
    </row>
    <row r="9" spans="1:10">
      <c r="A9" s="872">
        <v>1</v>
      </c>
      <c r="B9" s="850" t="s">
        <v>338</v>
      </c>
      <c r="C9" s="853"/>
      <c r="D9" s="853"/>
      <c r="E9" s="853"/>
      <c r="F9" s="853"/>
      <c r="G9" s="853"/>
      <c r="H9" s="853"/>
      <c r="I9" s="853"/>
      <c r="J9" s="833">
        <f>SUM(C9:I9)</f>
        <v>0</v>
      </c>
    </row>
    <row r="10" spans="1:10">
      <c r="A10" s="872">
        <f>A9+1</f>
        <v>2</v>
      </c>
      <c r="B10" s="850" t="s">
        <v>339</v>
      </c>
      <c r="C10" s="853"/>
      <c r="D10" s="853"/>
      <c r="E10" s="853"/>
      <c r="F10" s="853"/>
      <c r="G10" s="853"/>
      <c r="H10" s="853"/>
      <c r="I10" s="853"/>
      <c r="J10" s="833">
        <f>SUM(C10:I10)</f>
        <v>0</v>
      </c>
    </row>
    <row r="11" spans="1:10">
      <c r="A11" s="872">
        <f>A10+1</f>
        <v>3</v>
      </c>
      <c r="B11" s="851" t="s">
        <v>23</v>
      </c>
      <c r="C11" s="853"/>
      <c r="D11" s="853"/>
      <c r="E11" s="853"/>
      <c r="F11" s="853"/>
      <c r="G11" s="853"/>
      <c r="H11" s="853"/>
      <c r="I11" s="853"/>
      <c r="J11" s="833">
        <f>SUM(C11:I11)</f>
        <v>0</v>
      </c>
    </row>
    <row r="12" spans="1:10">
      <c r="A12" s="872">
        <f>A11+1</f>
        <v>4</v>
      </c>
      <c r="B12" s="851" t="s">
        <v>17</v>
      </c>
      <c r="C12" s="853"/>
      <c r="D12" s="853"/>
      <c r="E12" s="853"/>
      <c r="F12" s="853"/>
      <c r="G12" s="853"/>
      <c r="H12" s="853"/>
      <c r="I12" s="853"/>
      <c r="J12" s="833">
        <f>SUM(C12:I12)</f>
        <v>0</v>
      </c>
    </row>
    <row r="13" spans="1:10">
      <c r="A13" s="872">
        <f>A12+1</f>
        <v>5</v>
      </c>
      <c r="B13" s="851" t="str">
        <f>"Less: Fair Value Hedges (See Note on Ln "&amp;A16&amp;" below)"</f>
        <v>Less: Fair Value Hedges (See Note on Ln 7 below)</v>
      </c>
      <c r="C13" s="147"/>
      <c r="D13" s="147"/>
      <c r="E13" s="147"/>
      <c r="F13" s="147"/>
      <c r="G13" s="147"/>
      <c r="H13" s="147"/>
      <c r="I13" s="147"/>
      <c r="J13" s="874">
        <f>SUM(C13:I13)</f>
        <v>0</v>
      </c>
    </row>
    <row r="14" spans="1:10">
      <c r="A14" s="872">
        <f>A13+1</f>
        <v>6</v>
      </c>
      <c r="B14" s="852" t="s">
        <v>59</v>
      </c>
      <c r="C14" s="875">
        <f t="shared" ref="C14:J14" si="0">C9-C10+C11+C12-C13</f>
        <v>0</v>
      </c>
      <c r="D14" s="875"/>
      <c r="E14" s="875">
        <f t="shared" si="0"/>
        <v>0</v>
      </c>
      <c r="F14" s="875">
        <f t="shared" si="0"/>
        <v>0</v>
      </c>
      <c r="G14" s="875">
        <f t="shared" si="0"/>
        <v>0</v>
      </c>
      <c r="H14" s="875">
        <f t="shared" si="0"/>
        <v>0</v>
      </c>
      <c r="I14" s="875">
        <f t="shared" si="0"/>
        <v>0</v>
      </c>
      <c r="J14" s="875">
        <f t="shared" si="0"/>
        <v>0</v>
      </c>
    </row>
    <row r="16" spans="1:10" ht="12.75" customHeight="1">
      <c r="A16" s="872">
        <f>A14+1</f>
        <v>7</v>
      </c>
      <c r="B16" s="1578" t="s">
        <v>547</v>
      </c>
      <c r="C16" s="1578"/>
      <c r="D16" s="1578"/>
      <c r="E16" s="1578"/>
      <c r="F16" s="1578"/>
      <c r="G16" s="1578"/>
      <c r="H16" s="1578"/>
      <c r="I16" s="1578"/>
      <c r="J16" s="1578"/>
    </row>
    <row r="17" spans="1:10" ht="12.75" customHeight="1">
      <c r="B17" s="876"/>
      <c r="C17" s="876"/>
      <c r="D17" s="876"/>
      <c r="E17" s="876"/>
      <c r="F17" s="876"/>
      <c r="G17" s="876"/>
      <c r="H17" s="876"/>
      <c r="I17" s="876"/>
      <c r="J17" s="876"/>
    </row>
    <row r="18" spans="1:10" ht="15">
      <c r="A18" s="846" t="s">
        <v>516</v>
      </c>
    </row>
    <row r="19" spans="1:10">
      <c r="A19" s="872">
        <f>A16+1</f>
        <v>8</v>
      </c>
      <c r="B19" s="850" t="s">
        <v>340</v>
      </c>
      <c r="C19" s="146"/>
      <c r="D19" s="146"/>
      <c r="E19" s="146"/>
      <c r="F19" s="146"/>
      <c r="G19" s="146"/>
      <c r="H19" s="146"/>
      <c r="I19" s="146"/>
      <c r="J19" s="489">
        <f t="shared" ref="J19:J24" si="1">SUM(C19:I19)</f>
        <v>0</v>
      </c>
    </row>
    <row r="20" spans="1:10">
      <c r="A20" s="872">
        <f t="shared" ref="A20:A25" si="2">A19+1</f>
        <v>9</v>
      </c>
      <c r="B20" s="850" t="s">
        <v>333</v>
      </c>
      <c r="C20" s="146"/>
      <c r="D20" s="146"/>
      <c r="E20" s="146"/>
      <c r="F20" s="146"/>
      <c r="G20" s="146"/>
      <c r="H20" s="146"/>
      <c r="I20" s="146"/>
      <c r="J20" s="489">
        <f t="shared" si="1"/>
        <v>0</v>
      </c>
    </row>
    <row r="21" spans="1:10">
      <c r="A21" s="872">
        <f t="shared" si="2"/>
        <v>10</v>
      </c>
      <c r="B21" s="850" t="s">
        <v>334</v>
      </c>
      <c r="C21" s="146"/>
      <c r="D21" s="146"/>
      <c r="E21" s="146"/>
      <c r="F21" s="146"/>
      <c r="G21" s="146"/>
      <c r="H21" s="146"/>
      <c r="I21" s="146"/>
      <c r="J21" s="489">
        <f t="shared" si="1"/>
        <v>0</v>
      </c>
    </row>
    <row r="22" spans="1:10">
      <c r="A22" s="872">
        <f t="shared" si="2"/>
        <v>11</v>
      </c>
      <c r="B22" s="850" t="s">
        <v>335</v>
      </c>
      <c r="C22" s="853"/>
      <c r="D22" s="853"/>
      <c r="E22" s="853"/>
      <c r="F22" s="853"/>
      <c r="G22" s="853"/>
      <c r="H22" s="853"/>
      <c r="I22" s="853"/>
      <c r="J22" s="833">
        <f t="shared" si="1"/>
        <v>0</v>
      </c>
    </row>
    <row r="23" spans="1:10">
      <c r="A23" s="872">
        <f t="shared" si="2"/>
        <v>12</v>
      </c>
      <c r="B23" s="850" t="s">
        <v>336</v>
      </c>
      <c r="C23" s="853"/>
      <c r="D23" s="853"/>
      <c r="E23" s="853"/>
      <c r="F23" s="853"/>
      <c r="G23" s="853"/>
      <c r="H23" s="853"/>
      <c r="I23" s="853"/>
      <c r="J23" s="833">
        <f t="shared" si="1"/>
        <v>0</v>
      </c>
    </row>
    <row r="24" spans="1:10">
      <c r="A24" s="872">
        <f t="shared" si="2"/>
        <v>13</v>
      </c>
      <c r="B24" s="877" t="s">
        <v>517</v>
      </c>
      <c r="C24" s="147"/>
      <c r="D24" s="147"/>
      <c r="E24" s="147"/>
      <c r="F24" s="147"/>
      <c r="G24" s="147"/>
      <c r="H24" s="147"/>
      <c r="I24" s="147"/>
      <c r="J24" s="874">
        <f t="shared" si="1"/>
        <v>0</v>
      </c>
    </row>
    <row r="25" spans="1:10">
      <c r="A25" s="872">
        <f t="shared" si="2"/>
        <v>14</v>
      </c>
      <c r="B25" s="878" t="s">
        <v>60</v>
      </c>
      <c r="C25" s="879">
        <f t="shared" ref="C25:J25" si="3">C19+C20+C21-C22-C23-C24</f>
        <v>0</v>
      </c>
      <c r="D25" s="879"/>
      <c r="E25" s="879">
        <f t="shared" si="3"/>
        <v>0</v>
      </c>
      <c r="F25" s="879">
        <f t="shared" si="3"/>
        <v>0</v>
      </c>
      <c r="G25" s="879">
        <f t="shared" si="3"/>
        <v>0</v>
      </c>
      <c r="H25" s="879">
        <f t="shared" si="3"/>
        <v>0</v>
      </c>
      <c r="I25" s="879">
        <f t="shared" si="3"/>
        <v>0</v>
      </c>
      <c r="J25" s="879">
        <f t="shared" si="3"/>
        <v>0</v>
      </c>
    </row>
    <row r="27" spans="1:10" ht="15">
      <c r="A27" s="846" t="s">
        <v>518</v>
      </c>
      <c r="B27" s="880"/>
      <c r="C27" s="880"/>
      <c r="D27" s="880"/>
      <c r="E27" s="880"/>
    </row>
    <row r="28" spans="1:10">
      <c r="A28" s="872">
        <f>A25+1</f>
        <v>15</v>
      </c>
      <c r="B28" s="849" t="s">
        <v>519</v>
      </c>
      <c r="C28" s="854"/>
      <c r="D28" s="901"/>
      <c r="E28" s="902"/>
      <c r="F28" s="901"/>
      <c r="G28" s="901"/>
      <c r="H28" s="854"/>
      <c r="I28" s="901"/>
      <c r="J28" s="881"/>
    </row>
    <row r="29" spans="1:10">
      <c r="A29" s="872">
        <f>A28+1</f>
        <v>16</v>
      </c>
      <c r="B29" s="849" t="s">
        <v>520</v>
      </c>
      <c r="C29" s="855"/>
      <c r="D29" s="903"/>
      <c r="E29" s="855"/>
      <c r="F29" s="903"/>
      <c r="G29" s="903"/>
      <c r="H29" s="855"/>
      <c r="I29" s="903"/>
      <c r="J29" s="882"/>
    </row>
    <row r="30" spans="1:10">
      <c r="A30" s="872">
        <f>A29+1</f>
        <v>17</v>
      </c>
      <c r="B30" s="849" t="s">
        <v>521</v>
      </c>
      <c r="C30" s="146"/>
      <c r="D30" s="904"/>
      <c r="E30" s="146"/>
      <c r="F30" s="904"/>
      <c r="G30" s="904"/>
      <c r="H30" s="146"/>
      <c r="I30" s="904"/>
    </row>
    <row r="31" spans="1:10">
      <c r="A31" s="872">
        <f>A30+1</f>
        <v>18</v>
      </c>
      <c r="B31" s="849"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79">
        <f>SUM(C31:I31)</f>
        <v>0</v>
      </c>
    </row>
    <row r="32" spans="1:10">
      <c r="A32" s="872">
        <f>A31+1</f>
        <v>19</v>
      </c>
      <c r="B32" s="849"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79">
        <f>SUM(C32:I32)</f>
        <v>0</v>
      </c>
    </row>
    <row r="34" spans="1:10">
      <c r="A34" s="872">
        <f>A32+1</f>
        <v>20</v>
      </c>
      <c r="B34" s="849" t="s">
        <v>519</v>
      </c>
      <c r="C34" s="854"/>
      <c r="D34" s="901"/>
      <c r="E34" s="902"/>
      <c r="F34" s="901"/>
      <c r="G34" s="901"/>
      <c r="H34" s="854"/>
      <c r="I34" s="901"/>
    </row>
    <row r="35" spans="1:10">
      <c r="A35" s="872">
        <f>A34+1</f>
        <v>21</v>
      </c>
      <c r="B35" s="849" t="s">
        <v>520</v>
      </c>
      <c r="C35" s="855"/>
      <c r="D35" s="903"/>
      <c r="E35" s="855"/>
      <c r="F35" s="903"/>
      <c r="G35" s="903"/>
      <c r="H35" s="855"/>
      <c r="I35" s="903"/>
    </row>
    <row r="36" spans="1:10">
      <c r="A36" s="872">
        <f>A35+1</f>
        <v>22</v>
      </c>
      <c r="B36" s="849" t="s">
        <v>521</v>
      </c>
      <c r="C36" s="146"/>
      <c r="D36" s="904"/>
      <c r="E36" s="146"/>
      <c r="F36" s="904"/>
      <c r="G36" s="904"/>
      <c r="H36" s="146"/>
      <c r="I36" s="904"/>
    </row>
    <row r="37" spans="1:10">
      <c r="A37" s="872">
        <f>A36+1</f>
        <v>23</v>
      </c>
      <c r="B37" s="849"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79">
        <f>SUM(C37:I37)</f>
        <v>0</v>
      </c>
    </row>
    <row r="38" spans="1:10">
      <c r="A38" s="872">
        <f>A37+1</f>
        <v>24</v>
      </c>
      <c r="B38" s="849"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79">
        <f>SUM(C38:I38)</f>
        <v>0</v>
      </c>
    </row>
    <row r="40" spans="1:10">
      <c r="A40" s="872">
        <f>A38+1</f>
        <v>25</v>
      </c>
      <c r="B40" s="849" t="s">
        <v>519</v>
      </c>
      <c r="C40" s="854"/>
      <c r="D40" s="901"/>
      <c r="E40" s="902"/>
      <c r="F40" s="901"/>
      <c r="G40" s="901"/>
      <c r="H40" s="854"/>
      <c r="I40" s="901"/>
    </row>
    <row r="41" spans="1:10">
      <c r="A41" s="872">
        <f>A40+1</f>
        <v>26</v>
      </c>
      <c r="B41" s="849" t="s">
        <v>520</v>
      </c>
      <c r="C41" s="855"/>
      <c r="D41" s="903"/>
      <c r="E41" s="855"/>
      <c r="F41" s="903"/>
      <c r="G41" s="903"/>
      <c r="H41" s="855"/>
      <c r="I41" s="903"/>
    </row>
    <row r="42" spans="1:10">
      <c r="A42" s="872">
        <f>A41+1</f>
        <v>27</v>
      </c>
      <c r="B42" s="849" t="s">
        <v>521</v>
      </c>
      <c r="C42" s="146"/>
      <c r="D42" s="904"/>
      <c r="E42" s="146"/>
      <c r="F42" s="904"/>
      <c r="G42" s="904"/>
      <c r="H42" s="146"/>
      <c r="I42" s="904"/>
    </row>
    <row r="43" spans="1:10">
      <c r="A43" s="872">
        <f>A42+1</f>
        <v>28</v>
      </c>
      <c r="B43" s="849"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79">
        <f>SUM(C43:I43)</f>
        <v>0</v>
      </c>
    </row>
    <row r="44" spans="1:10">
      <c r="A44" s="872">
        <f>A43+1</f>
        <v>29</v>
      </c>
      <c r="B44" s="849"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79">
        <f>SUM(C44:I44)</f>
        <v>0</v>
      </c>
    </row>
    <row r="46" spans="1:10">
      <c r="A46" s="872">
        <f>A44+1</f>
        <v>30</v>
      </c>
      <c r="B46" s="849" t="s">
        <v>519</v>
      </c>
      <c r="C46" s="854"/>
      <c r="D46" s="901"/>
      <c r="E46" s="902"/>
      <c r="F46" s="901"/>
      <c r="G46" s="901"/>
      <c r="H46" s="854"/>
      <c r="I46" s="901"/>
    </row>
    <row r="47" spans="1:10">
      <c r="A47" s="872">
        <f>A46+1</f>
        <v>31</v>
      </c>
      <c r="B47" s="849" t="s">
        <v>520</v>
      </c>
      <c r="C47" s="855"/>
      <c r="D47" s="903"/>
      <c r="E47" s="855"/>
      <c r="F47" s="903"/>
      <c r="G47" s="903"/>
      <c r="H47" s="855"/>
      <c r="I47" s="903"/>
    </row>
    <row r="48" spans="1:10">
      <c r="A48" s="872">
        <f>A47+1</f>
        <v>32</v>
      </c>
      <c r="B48" s="849" t="s">
        <v>521</v>
      </c>
      <c r="C48" s="146"/>
      <c r="D48" s="904"/>
      <c r="E48" s="146"/>
      <c r="F48" s="904"/>
      <c r="G48" s="904"/>
      <c r="H48" s="146"/>
      <c r="I48" s="904"/>
    </row>
    <row r="49" spans="1:10">
      <c r="A49" s="872">
        <f>A48+1</f>
        <v>33</v>
      </c>
      <c r="B49" s="849"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79">
        <f>SUM(C49:I49)</f>
        <v>0</v>
      </c>
    </row>
    <row r="50" spans="1:10">
      <c r="A50" s="872">
        <f>A49+1</f>
        <v>34</v>
      </c>
      <c r="B50" s="849"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79">
        <f>SUM(C50:I50)</f>
        <v>0</v>
      </c>
    </row>
    <row r="51" spans="1:10">
      <c r="B51" s="849"/>
    </row>
    <row r="52" spans="1:10">
      <c r="A52" s="872">
        <f>A50+1</f>
        <v>35</v>
      </c>
      <c r="B52" s="847" t="str">
        <f>"Preferred Stock (Lns "&amp;A31&amp;", "&amp;A37&amp;", "&amp;A43&amp;","&amp;A49&amp;")"</f>
        <v>Preferred Stock (Lns 18, 23, 28,33)</v>
      </c>
      <c r="C52" s="879">
        <f t="shared" ref="C52:I53" si="12">C31+C37+C43+C49</f>
        <v>0</v>
      </c>
      <c r="D52" s="879"/>
      <c r="E52" s="879">
        <f t="shared" si="12"/>
        <v>0</v>
      </c>
      <c r="F52" s="879">
        <f t="shared" si="12"/>
        <v>0</v>
      </c>
      <c r="G52" s="879">
        <f t="shared" si="12"/>
        <v>0</v>
      </c>
      <c r="H52" s="879">
        <f t="shared" si="12"/>
        <v>0</v>
      </c>
      <c r="I52" s="879">
        <f t="shared" si="12"/>
        <v>0</v>
      </c>
      <c r="J52" s="879">
        <f>SUM(C52:I52)</f>
        <v>0</v>
      </c>
    </row>
    <row r="53" spans="1:10">
      <c r="A53" s="872">
        <f>A52+1</f>
        <v>36</v>
      </c>
      <c r="B53" s="847" t="str">
        <f>"Preferred Dividends (Lns "&amp;A32&amp;", "&amp;A38&amp;", "&amp;A44&amp;","&amp;A50&amp;")"</f>
        <v>Preferred Dividends (Lns 19, 24, 29,34)</v>
      </c>
      <c r="C53" s="879">
        <f t="shared" si="12"/>
        <v>0</v>
      </c>
      <c r="D53" s="879"/>
      <c r="E53" s="879">
        <f t="shared" si="12"/>
        <v>0</v>
      </c>
      <c r="F53" s="879">
        <f t="shared" si="12"/>
        <v>0</v>
      </c>
      <c r="G53" s="879">
        <f t="shared" si="12"/>
        <v>0</v>
      </c>
      <c r="H53" s="879">
        <f t="shared" si="12"/>
        <v>0</v>
      </c>
      <c r="I53" s="879">
        <f t="shared" si="12"/>
        <v>0</v>
      </c>
      <c r="J53" s="879">
        <f>SUM(C53:I53)</f>
        <v>0</v>
      </c>
    </row>
    <row r="54" spans="1:10">
      <c r="B54" s="883"/>
    </row>
    <row r="55" spans="1:10" ht="15">
      <c r="A55" s="846" t="s">
        <v>522</v>
      </c>
    </row>
    <row r="56" spans="1:10">
      <c r="A56" s="872">
        <f>A53+1</f>
        <v>37</v>
      </c>
      <c r="B56" s="665" t="s">
        <v>523</v>
      </c>
      <c r="C56" s="146"/>
      <c r="D56" s="146"/>
      <c r="E56" s="146"/>
      <c r="F56" s="146"/>
      <c r="G56" s="146"/>
      <c r="H56" s="146"/>
      <c r="I56" s="146"/>
      <c r="J56" s="879">
        <f>SUM(C56:I56)</f>
        <v>0</v>
      </c>
    </row>
    <row r="57" spans="1:10">
      <c r="A57" s="872">
        <f>A56+1</f>
        <v>38</v>
      </c>
      <c r="B57" s="665"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79">
        <f>SUM(C57:I57)</f>
        <v>0</v>
      </c>
    </row>
    <row r="58" spans="1:10">
      <c r="A58" s="872">
        <f>A57+1</f>
        <v>39</v>
      </c>
      <c r="B58" s="665" t="s">
        <v>524</v>
      </c>
      <c r="C58" s="853"/>
      <c r="D58" s="853"/>
      <c r="E58" s="853"/>
      <c r="F58" s="853"/>
      <c r="G58" s="853"/>
      <c r="H58" s="853"/>
      <c r="I58" s="853"/>
      <c r="J58" s="879">
        <f>SUM(C58:I58)</f>
        <v>0</v>
      </c>
    </row>
    <row r="59" spans="1:10">
      <c r="A59" s="872">
        <f>A58+1</f>
        <v>40</v>
      </c>
      <c r="B59" s="665" t="s">
        <v>525</v>
      </c>
      <c r="C59" s="147"/>
      <c r="D59" s="147"/>
      <c r="E59" s="147"/>
      <c r="F59" s="147"/>
      <c r="G59" s="147"/>
      <c r="H59" s="147"/>
      <c r="I59" s="147"/>
      <c r="J59" s="884">
        <f>SUM(C59:I59)</f>
        <v>0</v>
      </c>
    </row>
    <row r="60" spans="1:10">
      <c r="A60" s="872">
        <f>A59+1</f>
        <v>41</v>
      </c>
      <c r="B60" s="848" t="s">
        <v>526</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527</v>
      </c>
    </row>
    <row r="63" spans="1:10">
      <c r="A63" s="872">
        <f>A60+1</f>
        <v>42</v>
      </c>
      <c r="B63" s="468" t="str">
        <f>"Long Term Debt (Ln "&amp;A14&amp;" Above)"</f>
        <v>Long Term Debt (Ln 6 Above)</v>
      </c>
      <c r="C63" s="879">
        <f t="shared" ref="C63:J63" si="15">C14</f>
        <v>0</v>
      </c>
      <c r="D63" s="879"/>
      <c r="E63" s="879">
        <f t="shared" si="15"/>
        <v>0</v>
      </c>
      <c r="F63" s="879">
        <f t="shared" si="15"/>
        <v>0</v>
      </c>
      <c r="G63" s="879">
        <f t="shared" si="15"/>
        <v>0</v>
      </c>
      <c r="H63" s="879">
        <f t="shared" si="15"/>
        <v>0</v>
      </c>
      <c r="I63" s="879">
        <f t="shared" si="15"/>
        <v>0</v>
      </c>
      <c r="J63" s="879">
        <f t="shared" si="15"/>
        <v>0</v>
      </c>
    </row>
    <row r="64" spans="1:10">
      <c r="A64" s="872">
        <f>A63+1</f>
        <v>43</v>
      </c>
      <c r="B64" s="468" t="str">
        <f>"Preferred Stock (Ln "&amp;A52&amp;" Above)"</f>
        <v>Preferred Stock (Ln 35 Above)</v>
      </c>
      <c r="C64" s="879">
        <f t="shared" ref="C64:J64" si="16">C52</f>
        <v>0</v>
      </c>
      <c r="D64" s="879"/>
      <c r="E64" s="879">
        <f t="shared" si="16"/>
        <v>0</v>
      </c>
      <c r="F64" s="879">
        <f t="shared" si="16"/>
        <v>0</v>
      </c>
      <c r="G64" s="879">
        <f t="shared" si="16"/>
        <v>0</v>
      </c>
      <c r="H64" s="879">
        <f t="shared" si="16"/>
        <v>0</v>
      </c>
      <c r="I64" s="879">
        <f t="shared" si="16"/>
        <v>0</v>
      </c>
      <c r="J64" s="879">
        <f t="shared" si="16"/>
        <v>0</v>
      </c>
    </row>
    <row r="65" spans="1:10">
      <c r="A65" s="872">
        <f>A64+1</f>
        <v>44</v>
      </c>
      <c r="B65" s="468" t="str">
        <f>"Common Equity (Ln "&amp;A60&amp;" Above)"</f>
        <v>Common Equity (Ln 41 Above)</v>
      </c>
      <c r="C65" s="884">
        <f t="shared" ref="C65:J65" si="17">C60</f>
        <v>0</v>
      </c>
      <c r="D65" s="884"/>
      <c r="E65" s="884">
        <f t="shared" si="17"/>
        <v>0</v>
      </c>
      <c r="F65" s="884">
        <f t="shared" si="17"/>
        <v>0</v>
      </c>
      <c r="G65" s="884">
        <f t="shared" si="17"/>
        <v>0</v>
      </c>
      <c r="H65" s="884">
        <f t="shared" si="17"/>
        <v>0</v>
      </c>
      <c r="I65" s="884">
        <f t="shared" si="17"/>
        <v>0</v>
      </c>
      <c r="J65" s="884">
        <f t="shared" si="17"/>
        <v>0</v>
      </c>
    </row>
    <row r="66" spans="1:10">
      <c r="A66" s="872">
        <f>A65+1</f>
        <v>45</v>
      </c>
      <c r="B66" s="872" t="s">
        <v>528</v>
      </c>
      <c r="C66" s="879">
        <f t="shared" ref="C66:J66" si="18">SUM(C63:C65)</f>
        <v>0</v>
      </c>
      <c r="D66" s="879"/>
      <c r="E66" s="879">
        <f t="shared" si="18"/>
        <v>0</v>
      </c>
      <c r="F66" s="879">
        <f t="shared" si="18"/>
        <v>0</v>
      </c>
      <c r="G66" s="879">
        <f t="shared" si="18"/>
        <v>0</v>
      </c>
      <c r="H66" s="879">
        <f t="shared" si="18"/>
        <v>0</v>
      </c>
      <c r="I66" s="879">
        <f t="shared" si="18"/>
        <v>0</v>
      </c>
      <c r="J66" s="879">
        <f t="shared" si="18"/>
        <v>0</v>
      </c>
    </row>
    <row r="68" spans="1:10">
      <c r="A68" s="872">
        <f>A66+1</f>
        <v>46</v>
      </c>
      <c r="B68" s="468" t="str">
        <f>"LTD Capital Shares (Ln "&amp;A63&amp;" / Ln "&amp;A66&amp;")"</f>
        <v>LTD Capital Shares (Ln 42 / Ln 45)</v>
      </c>
      <c r="C68" s="885" t="e">
        <f t="shared" ref="C68:J68" si="19">C63/C66</f>
        <v>#DIV/0!</v>
      </c>
      <c r="D68" s="885"/>
      <c r="E68" s="885" t="e">
        <f t="shared" si="19"/>
        <v>#DIV/0!</v>
      </c>
      <c r="F68" s="885" t="e">
        <f t="shared" si="19"/>
        <v>#DIV/0!</v>
      </c>
      <c r="G68" s="885" t="e">
        <f t="shared" si="19"/>
        <v>#DIV/0!</v>
      </c>
      <c r="H68" s="885" t="e">
        <f t="shared" si="19"/>
        <v>#DIV/0!</v>
      </c>
      <c r="I68" s="885" t="e">
        <f t="shared" si="19"/>
        <v>#DIV/0!</v>
      </c>
      <c r="J68" s="885" t="e">
        <f t="shared" si="19"/>
        <v>#DIV/0!</v>
      </c>
    </row>
    <row r="69" spans="1:10">
      <c r="A69" s="872">
        <f>A68+1</f>
        <v>47</v>
      </c>
      <c r="B69" s="468" t="str">
        <f>"Preferred Stock Capital Shares (Ln "&amp;A64&amp;" / Ln "&amp;A66&amp;")"</f>
        <v>Preferred Stock Capital Shares (Ln 43 / Ln 45)</v>
      </c>
      <c r="C69" s="885" t="e">
        <f t="shared" ref="C69:J69" si="20">C64/C66</f>
        <v>#DIV/0!</v>
      </c>
      <c r="D69" s="885"/>
      <c r="E69" s="885" t="e">
        <f t="shared" si="20"/>
        <v>#DIV/0!</v>
      </c>
      <c r="F69" s="885" t="e">
        <f t="shared" si="20"/>
        <v>#DIV/0!</v>
      </c>
      <c r="G69" s="885" t="e">
        <f t="shared" si="20"/>
        <v>#DIV/0!</v>
      </c>
      <c r="H69" s="885" t="e">
        <f t="shared" si="20"/>
        <v>#DIV/0!</v>
      </c>
      <c r="I69" s="885" t="e">
        <f t="shared" si="20"/>
        <v>#DIV/0!</v>
      </c>
      <c r="J69" s="885" t="e">
        <f t="shared" si="20"/>
        <v>#DIV/0!</v>
      </c>
    </row>
    <row r="70" spans="1:10">
      <c r="A70" s="886">
        <f>A69+1</f>
        <v>48</v>
      </c>
      <c r="B70" s="468" t="str">
        <f>"Common Equity Capital Shares (Ln "&amp;A65&amp;" / Ln "&amp;A66&amp;")"</f>
        <v>Common Equity Capital Shares (Ln 44 / Ln 45)</v>
      </c>
      <c r="C70" s="887" t="e">
        <f t="shared" ref="C70:J70" si="21">C65/C66</f>
        <v>#DIV/0!</v>
      </c>
      <c r="D70" s="887"/>
      <c r="E70" s="887" t="e">
        <f t="shared" si="21"/>
        <v>#DIV/0!</v>
      </c>
      <c r="F70" s="887" t="e">
        <f t="shared" si="21"/>
        <v>#DIV/0!</v>
      </c>
      <c r="G70" s="887" t="e">
        <f t="shared" si="21"/>
        <v>#DIV/0!</v>
      </c>
      <c r="H70" s="887" t="e">
        <f t="shared" si="21"/>
        <v>#DIV/0!</v>
      </c>
      <c r="I70" s="887" t="e">
        <f t="shared" si="21"/>
        <v>#DIV/0!</v>
      </c>
      <c r="J70" s="887" t="e">
        <f t="shared" si="21"/>
        <v>#DIV/0!</v>
      </c>
    </row>
    <row r="71" spans="1:10">
      <c r="A71" s="886"/>
      <c r="B71" s="468"/>
      <c r="C71" s="887"/>
      <c r="D71" s="887"/>
      <c r="E71" s="887"/>
      <c r="F71" s="887"/>
      <c r="G71" s="887"/>
      <c r="H71" s="887"/>
      <c r="I71" s="887"/>
      <c r="J71" s="887"/>
    </row>
    <row r="72" spans="1:10">
      <c r="A72" s="886">
        <f>A70+1</f>
        <v>49</v>
      </c>
      <c r="B72" s="847" t="s">
        <v>558</v>
      </c>
      <c r="C72" s="888"/>
      <c r="D72" s="888"/>
      <c r="E72" s="888"/>
      <c r="F72" s="888"/>
      <c r="G72" s="888"/>
      <c r="H72" s="888"/>
      <c r="I72" s="888"/>
      <c r="J72" s="888"/>
    </row>
    <row r="73" spans="1:10">
      <c r="A73" s="886"/>
      <c r="B73" s="468"/>
      <c r="C73" s="887"/>
      <c r="D73" s="887"/>
      <c r="E73" s="887"/>
      <c r="F73" s="887"/>
      <c r="G73" s="887"/>
      <c r="H73" s="887"/>
      <c r="I73" s="887"/>
      <c r="J73" s="887"/>
    </row>
    <row r="74" spans="1:10">
      <c r="A74" s="886">
        <f>A72+1</f>
        <v>50</v>
      </c>
      <c r="B74" s="847" t="s">
        <v>558</v>
      </c>
      <c r="C74" s="887"/>
      <c r="D74" s="887"/>
      <c r="E74" s="887"/>
      <c r="F74" s="887"/>
      <c r="G74" s="887"/>
      <c r="H74" s="887"/>
      <c r="I74" s="887"/>
      <c r="J74" s="887"/>
    </row>
    <row r="75" spans="1:10">
      <c r="A75" s="886">
        <f>A74+1</f>
        <v>51</v>
      </c>
      <c r="B75" s="847" t="s">
        <v>558</v>
      </c>
      <c r="C75" s="887"/>
      <c r="D75" s="887"/>
      <c r="E75" s="887"/>
      <c r="F75" s="887"/>
      <c r="G75" s="887"/>
      <c r="H75" s="887"/>
      <c r="I75" s="887"/>
      <c r="J75" s="887"/>
    </row>
    <row r="76" spans="1:10">
      <c r="A76" s="886">
        <f>A75+1</f>
        <v>52</v>
      </c>
      <c r="B76" s="847" t="s">
        <v>558</v>
      </c>
      <c r="C76" s="887"/>
      <c r="D76" s="887"/>
      <c r="E76" s="887"/>
      <c r="F76" s="887"/>
      <c r="G76" s="887"/>
      <c r="H76" s="887"/>
      <c r="I76" s="887"/>
      <c r="J76" s="887"/>
    </row>
    <row r="77" spans="1:10">
      <c r="B77" s="468"/>
      <c r="C77" s="885"/>
      <c r="D77" s="885"/>
      <c r="E77" s="885"/>
      <c r="F77" s="885"/>
      <c r="G77" s="885"/>
      <c r="H77" s="885"/>
      <c r="I77" s="885"/>
      <c r="J77" s="885"/>
    </row>
    <row r="78" spans="1:10" ht="15">
      <c r="A78" s="846" t="s">
        <v>529</v>
      </c>
    </row>
    <row r="79" spans="1:10">
      <c r="A79" s="872">
        <f>A76+1</f>
        <v>53</v>
      </c>
      <c r="B79" s="468" t="str">
        <f>"LTD Capital Cost Rate (Ln "&amp;A25&amp;" / Ln "&amp;A14&amp;")"</f>
        <v>LTD Capital Cost Rate (Ln 14 / Ln 6)</v>
      </c>
      <c r="C79" s="885" t="e">
        <f t="shared" ref="C79:J79" si="22">C25/C14</f>
        <v>#DIV/0!</v>
      </c>
      <c r="D79" s="885"/>
      <c r="E79" s="885" t="e">
        <f t="shared" si="22"/>
        <v>#DIV/0!</v>
      </c>
      <c r="F79" s="885" t="e">
        <f t="shared" si="22"/>
        <v>#DIV/0!</v>
      </c>
      <c r="G79" s="885" t="e">
        <f t="shared" si="22"/>
        <v>#DIV/0!</v>
      </c>
      <c r="H79" s="885" t="e">
        <f t="shared" si="22"/>
        <v>#DIV/0!</v>
      </c>
      <c r="I79" s="885" t="e">
        <f t="shared" si="22"/>
        <v>#DIV/0!</v>
      </c>
      <c r="J79" s="885" t="e">
        <f t="shared" si="22"/>
        <v>#DIV/0!</v>
      </c>
    </row>
    <row r="80" spans="1:10">
      <c r="A80" s="872">
        <f>A79+1</f>
        <v>54</v>
      </c>
      <c r="B80" s="468" t="str">
        <f>"Preferred Stock Capital Cost Rate (Ln "&amp;A53&amp;" / Ln "&amp;A52&amp;")"</f>
        <v>Preferred Stock Capital Cost Rate (Ln 36 / Ln 35)</v>
      </c>
      <c r="C80" s="885">
        <f t="shared" ref="C80:J80" si="23">IF(C52=0,0,C53/C52)</f>
        <v>0</v>
      </c>
      <c r="D80" s="885"/>
      <c r="E80" s="885">
        <f t="shared" si="23"/>
        <v>0</v>
      </c>
      <c r="F80" s="885">
        <f t="shared" si="23"/>
        <v>0</v>
      </c>
      <c r="G80" s="885">
        <f t="shared" si="23"/>
        <v>0</v>
      </c>
      <c r="H80" s="885">
        <f t="shared" si="23"/>
        <v>0</v>
      </c>
      <c r="I80" s="885">
        <f t="shared" si="23"/>
        <v>0</v>
      </c>
      <c r="J80" s="885">
        <f t="shared" si="23"/>
        <v>0</v>
      </c>
    </row>
    <row r="81" spans="1:10">
      <c r="A81" s="872">
        <f>A80+1</f>
        <v>55</v>
      </c>
      <c r="B81" s="468" t="s">
        <v>530</v>
      </c>
      <c r="C81" s="885">
        <v>0.1149</v>
      </c>
      <c r="D81" s="885"/>
      <c r="E81" s="885">
        <v>0.1149</v>
      </c>
      <c r="F81" s="885">
        <v>0.1149</v>
      </c>
      <c r="G81" s="885">
        <v>0.1149</v>
      </c>
      <c r="H81" s="885">
        <v>0.1149</v>
      </c>
      <c r="I81" s="885">
        <v>0.1149</v>
      </c>
      <c r="J81" s="885">
        <v>0.1149</v>
      </c>
    </row>
    <row r="83" spans="1:10" ht="15">
      <c r="A83" s="846" t="s">
        <v>531</v>
      </c>
    </row>
    <row r="84" spans="1:10">
      <c r="A84" s="872">
        <f>A81+1</f>
        <v>56</v>
      </c>
      <c r="B84" s="468" t="str">
        <f>"LTD Weighted Capital Cost Rate (Ln "&amp;A68&amp;" * Ln "&amp;A79&amp;")"</f>
        <v>LTD Weighted Capital Cost Rate (Ln 46 * Ln 53)</v>
      </c>
      <c r="C84" s="885" t="e">
        <f>C68*C79</f>
        <v>#DIV/0!</v>
      </c>
      <c r="D84" s="885"/>
      <c r="E84" s="885" t="e">
        <f t="shared" ref="E84:J84" si="24">E68*E79</f>
        <v>#DIV/0!</v>
      </c>
      <c r="F84" s="885" t="e">
        <f t="shared" si="24"/>
        <v>#DIV/0!</v>
      </c>
      <c r="G84" s="885" t="e">
        <f t="shared" si="24"/>
        <v>#DIV/0!</v>
      </c>
      <c r="H84" s="885" t="e">
        <f t="shared" si="24"/>
        <v>#DIV/0!</v>
      </c>
      <c r="I84" s="885" t="e">
        <f t="shared" si="24"/>
        <v>#DIV/0!</v>
      </c>
      <c r="J84" s="885" t="e">
        <f t="shared" si="24"/>
        <v>#DIV/0!</v>
      </c>
    </row>
    <row r="85" spans="1:10">
      <c r="A85" s="872">
        <f>A84+1</f>
        <v>57</v>
      </c>
      <c r="B85" s="468" t="str">
        <f>"Preferred Stock Capital Cost Rate (Ln "&amp;A69&amp;" * Ln "&amp;A80&amp;")"</f>
        <v>Preferred Stock Capital Cost Rate (Ln 47 * Ln 54)</v>
      </c>
      <c r="C85" s="885" t="e">
        <f>C69*C80</f>
        <v>#DIV/0!</v>
      </c>
      <c r="D85" s="885"/>
      <c r="E85" s="885" t="e">
        <f t="shared" ref="E85:J85" si="25">E69*E80</f>
        <v>#DIV/0!</v>
      </c>
      <c r="F85" s="885" t="e">
        <f t="shared" si="25"/>
        <v>#DIV/0!</v>
      </c>
      <c r="G85" s="885" t="e">
        <f t="shared" si="25"/>
        <v>#DIV/0!</v>
      </c>
      <c r="H85" s="885" t="e">
        <f t="shared" si="25"/>
        <v>#DIV/0!</v>
      </c>
      <c r="I85" s="885" t="e">
        <f t="shared" si="25"/>
        <v>#DIV/0!</v>
      </c>
      <c r="J85" s="885" t="e">
        <f t="shared" si="25"/>
        <v>#DIV/0!</v>
      </c>
    </row>
    <row r="86" spans="1:10">
      <c r="A86" s="872">
        <f>A85+1</f>
        <v>58</v>
      </c>
      <c r="B86" s="468" t="str">
        <f>"Common Equity Capital Cost Rate (Ln "&amp;A70&amp;" * Ln "&amp;A81&amp;")"</f>
        <v>Common Equity Capital Cost Rate (Ln 48 * Ln 55)</v>
      </c>
      <c r="C86" s="889" t="e">
        <f>C70*C81</f>
        <v>#DIV/0!</v>
      </c>
      <c r="D86" s="889"/>
      <c r="E86" s="889" t="e">
        <f t="shared" ref="E86:J86" si="26">E70*E81</f>
        <v>#DIV/0!</v>
      </c>
      <c r="F86" s="889" t="e">
        <f t="shared" si="26"/>
        <v>#DIV/0!</v>
      </c>
      <c r="G86" s="889" t="e">
        <f t="shared" si="26"/>
        <v>#DIV/0!</v>
      </c>
      <c r="H86" s="889" t="e">
        <f t="shared" si="26"/>
        <v>#DIV/0!</v>
      </c>
      <c r="I86" s="889" t="e">
        <f t="shared" si="26"/>
        <v>#DIV/0!</v>
      </c>
      <c r="J86" s="889" t="e">
        <f t="shared" si="26"/>
        <v>#DIV/0!</v>
      </c>
    </row>
    <row r="87" spans="1:10">
      <c r="A87" s="872">
        <f>A86+1</f>
        <v>59</v>
      </c>
      <c r="B87" s="890" t="s">
        <v>528</v>
      </c>
      <c r="C87" s="891" t="e">
        <f t="shared" ref="C87:J87" si="27">SUM(C84:C86)</f>
        <v>#DIV/0!</v>
      </c>
      <c r="D87" s="891"/>
      <c r="E87" s="891" t="e">
        <f t="shared" si="27"/>
        <v>#DIV/0!</v>
      </c>
      <c r="F87" s="891" t="e">
        <f t="shared" si="27"/>
        <v>#DIV/0!</v>
      </c>
      <c r="G87" s="891" t="e">
        <f t="shared" si="27"/>
        <v>#DIV/0!</v>
      </c>
      <c r="H87" s="891" t="e">
        <f t="shared" si="27"/>
        <v>#DIV/0!</v>
      </c>
      <c r="I87" s="891" t="e">
        <f t="shared" si="27"/>
        <v>#DIV/0!</v>
      </c>
      <c r="J87" s="891" t="e">
        <f t="shared" si="27"/>
        <v>#DIV/0!</v>
      </c>
    </row>
    <row r="90" spans="1:10">
      <c r="A90" s="1579" t="s">
        <v>507</v>
      </c>
      <c r="B90" s="1579"/>
      <c r="C90" s="1579"/>
      <c r="D90" s="1579"/>
      <c r="E90" s="1579"/>
      <c r="F90" s="1579"/>
      <c r="G90" s="1579"/>
      <c r="H90" s="1579"/>
      <c r="I90" s="1579"/>
      <c r="J90" s="1579"/>
    </row>
    <row r="91" spans="1:10">
      <c r="A91" s="1579" t="str">
        <f>"Consolidation of Operating Companies' Capital Structure @ December 31, "&amp;TCOS!L4-1&amp;""</f>
        <v>Consolidation of Operating Companies' Capital Structure @ December 31, 2022</v>
      </c>
      <c r="B91" s="1579"/>
      <c r="C91" s="1579"/>
      <c r="D91" s="1579"/>
      <c r="E91" s="1579"/>
      <c r="F91" s="1579"/>
      <c r="G91" s="1579"/>
      <c r="H91" s="1579"/>
      <c r="I91" s="1579"/>
      <c r="J91" s="1579"/>
    </row>
    <row r="92" spans="1:10">
      <c r="A92" s="1579" t="s">
        <v>249</v>
      </c>
      <c r="B92" s="1579"/>
      <c r="C92" s="1579"/>
      <c r="D92" s="1579"/>
      <c r="E92" s="1579"/>
      <c r="F92" s="1579"/>
      <c r="G92" s="1579"/>
      <c r="H92" s="1579"/>
      <c r="I92" s="1579"/>
      <c r="J92" s="1579"/>
    </row>
    <row r="93" spans="1:10">
      <c r="B93" s="883"/>
      <c r="C93" s="886"/>
      <c r="D93" s="886"/>
      <c r="E93" s="886"/>
      <c r="F93" s="886"/>
      <c r="G93" s="886"/>
      <c r="H93" s="886"/>
      <c r="I93" s="886"/>
      <c r="J93" s="886"/>
    </row>
    <row r="94" spans="1:10" ht="76.5">
      <c r="A94" s="872" t="s">
        <v>461</v>
      </c>
      <c r="C94" s="873" t="s">
        <v>508</v>
      </c>
      <c r="D94" s="873"/>
      <c r="E94" s="873" t="s">
        <v>509</v>
      </c>
      <c r="F94" s="873" t="s">
        <v>510</v>
      </c>
      <c r="G94" s="873" t="s">
        <v>511</v>
      </c>
      <c r="H94" s="873" t="s">
        <v>512</v>
      </c>
      <c r="I94" s="873" t="s">
        <v>513</v>
      </c>
      <c r="J94" s="873" t="s">
        <v>514</v>
      </c>
    </row>
    <row r="95" spans="1:10" ht="15">
      <c r="A95" s="846" t="s">
        <v>515</v>
      </c>
    </row>
    <row r="96" spans="1:10">
      <c r="A96" s="872">
        <f>A87+1</f>
        <v>60</v>
      </c>
      <c r="B96" s="850" t="s">
        <v>338</v>
      </c>
      <c r="C96" s="853"/>
      <c r="D96" s="853"/>
      <c r="E96" s="853"/>
      <c r="F96" s="853"/>
      <c r="G96" s="853"/>
      <c r="H96" s="853"/>
      <c r="I96" s="853"/>
      <c r="J96" s="833">
        <f>SUM(C96:I96)</f>
        <v>0</v>
      </c>
    </row>
    <row r="97" spans="1:10">
      <c r="A97" s="872">
        <f>A96+1</f>
        <v>61</v>
      </c>
      <c r="B97" s="850" t="s">
        <v>339</v>
      </c>
      <c r="C97" s="853"/>
      <c r="D97" s="853"/>
      <c r="E97" s="853"/>
      <c r="F97" s="853"/>
      <c r="G97" s="853"/>
      <c r="H97" s="853"/>
      <c r="I97" s="853"/>
      <c r="J97" s="833">
        <f>SUM(C97:I97)</f>
        <v>0</v>
      </c>
    </row>
    <row r="98" spans="1:10">
      <c r="A98" s="872">
        <f>A97+1</f>
        <v>62</v>
      </c>
      <c r="B98" s="851" t="s">
        <v>23</v>
      </c>
      <c r="C98" s="853"/>
      <c r="D98" s="853"/>
      <c r="E98" s="853"/>
      <c r="F98" s="853"/>
      <c r="G98" s="853"/>
      <c r="H98" s="853"/>
      <c r="I98" s="853"/>
      <c r="J98" s="833">
        <f>SUM(C98:I98)</f>
        <v>0</v>
      </c>
    </row>
    <row r="99" spans="1:10">
      <c r="A99" s="872">
        <f>A98+1</f>
        <v>63</v>
      </c>
      <c r="B99" s="851" t="s">
        <v>17</v>
      </c>
      <c r="C99" s="853"/>
      <c r="D99" s="853"/>
      <c r="E99" s="853"/>
      <c r="F99" s="853"/>
      <c r="G99" s="853"/>
      <c r="H99" s="853"/>
      <c r="I99" s="853"/>
      <c r="J99" s="833">
        <f>SUM(C99:I99)</f>
        <v>0</v>
      </c>
    </row>
    <row r="100" spans="1:10">
      <c r="A100" s="872">
        <f>A99+1</f>
        <v>64</v>
      </c>
      <c r="B100" s="851" t="str">
        <f>"Less: Fair Value Hedges (See Note on Ln "&amp;A103&amp;" below)"</f>
        <v>Less: Fair Value Hedges (See Note on Ln 66 below)</v>
      </c>
      <c r="C100" s="147"/>
      <c r="D100" s="147"/>
      <c r="E100" s="147"/>
      <c r="F100" s="147"/>
      <c r="G100" s="147"/>
      <c r="H100" s="147"/>
      <c r="I100" s="147"/>
      <c r="J100" s="874">
        <f>SUM(C100:I100)</f>
        <v>0</v>
      </c>
    </row>
    <row r="101" spans="1:10">
      <c r="A101" s="872">
        <f>A100+1</f>
        <v>65</v>
      </c>
      <c r="B101" s="852" t="s">
        <v>59</v>
      </c>
      <c r="C101" s="875">
        <f t="shared" ref="C101:J101" si="28">C96-C97+C98+C99-C100</f>
        <v>0</v>
      </c>
      <c r="D101" s="875"/>
      <c r="E101" s="875">
        <f t="shared" si="28"/>
        <v>0</v>
      </c>
      <c r="F101" s="875">
        <f t="shared" si="28"/>
        <v>0</v>
      </c>
      <c r="G101" s="875">
        <f t="shared" si="28"/>
        <v>0</v>
      </c>
      <c r="H101" s="875">
        <f t="shared" si="28"/>
        <v>0</v>
      </c>
      <c r="I101" s="875">
        <f t="shared" si="28"/>
        <v>0</v>
      </c>
      <c r="J101" s="875">
        <f t="shared" si="28"/>
        <v>0</v>
      </c>
    </row>
    <row r="103" spans="1:10">
      <c r="A103" s="872">
        <f>A101+1</f>
        <v>66</v>
      </c>
      <c r="B103" s="1578" t="s">
        <v>58</v>
      </c>
      <c r="C103" s="1578"/>
      <c r="D103" s="1578"/>
      <c r="E103" s="1578"/>
      <c r="F103" s="1578"/>
      <c r="G103" s="1578"/>
      <c r="H103" s="1578"/>
      <c r="I103" s="1578"/>
      <c r="J103" s="1578"/>
    </row>
    <row r="104" spans="1:10">
      <c r="B104" s="876"/>
      <c r="C104" s="876"/>
      <c r="D104" s="876"/>
      <c r="E104" s="876"/>
      <c r="F104" s="876"/>
      <c r="G104" s="876"/>
      <c r="H104" s="876"/>
      <c r="I104" s="876"/>
      <c r="J104" s="876"/>
    </row>
    <row r="105" spans="1:10" ht="15">
      <c r="A105" s="846" t="s">
        <v>516</v>
      </c>
    </row>
    <row r="106" spans="1:10">
      <c r="A106" s="872">
        <f>A103+1</f>
        <v>67</v>
      </c>
      <c r="B106" s="850" t="s">
        <v>340</v>
      </c>
      <c r="C106" s="146"/>
      <c r="D106" s="146"/>
      <c r="E106" s="146"/>
      <c r="F106" s="146"/>
      <c r="G106" s="146"/>
      <c r="H106" s="146"/>
      <c r="I106" s="146"/>
      <c r="J106" s="489">
        <f t="shared" ref="J106:J111" si="29">SUM(C106:I106)</f>
        <v>0</v>
      </c>
    </row>
    <row r="107" spans="1:10">
      <c r="A107" s="872">
        <f t="shared" ref="A107:A112" si="30">A106+1</f>
        <v>68</v>
      </c>
      <c r="B107" s="850" t="s">
        <v>333</v>
      </c>
      <c r="C107" s="146"/>
      <c r="D107" s="146"/>
      <c r="E107" s="146"/>
      <c r="F107" s="146"/>
      <c r="G107" s="146"/>
      <c r="H107" s="146"/>
      <c r="I107" s="146"/>
      <c r="J107" s="489">
        <f t="shared" si="29"/>
        <v>0</v>
      </c>
    </row>
    <row r="108" spans="1:10">
      <c r="A108" s="872">
        <f t="shared" si="30"/>
        <v>69</v>
      </c>
      <c r="B108" s="850" t="s">
        <v>334</v>
      </c>
      <c r="C108" s="146"/>
      <c r="D108" s="146"/>
      <c r="E108" s="146"/>
      <c r="F108" s="146"/>
      <c r="G108" s="146"/>
      <c r="H108" s="146"/>
      <c r="I108" s="146"/>
      <c r="J108" s="489">
        <f t="shared" si="29"/>
        <v>0</v>
      </c>
    </row>
    <row r="109" spans="1:10">
      <c r="A109" s="872">
        <f t="shared" si="30"/>
        <v>70</v>
      </c>
      <c r="B109" s="850" t="s">
        <v>335</v>
      </c>
      <c r="C109" s="853"/>
      <c r="D109" s="853"/>
      <c r="E109" s="853"/>
      <c r="F109" s="853"/>
      <c r="G109" s="853"/>
      <c r="H109" s="853"/>
      <c r="I109" s="853"/>
      <c r="J109" s="833">
        <f t="shared" si="29"/>
        <v>0</v>
      </c>
    </row>
    <row r="110" spans="1:10">
      <c r="A110" s="872">
        <f t="shared" si="30"/>
        <v>71</v>
      </c>
      <c r="B110" s="850" t="s">
        <v>336</v>
      </c>
      <c r="C110" s="853"/>
      <c r="D110" s="853"/>
      <c r="E110" s="853"/>
      <c r="F110" s="853"/>
      <c r="G110" s="853"/>
      <c r="H110" s="853"/>
      <c r="I110" s="853"/>
      <c r="J110" s="833">
        <f t="shared" si="29"/>
        <v>0</v>
      </c>
    </row>
    <row r="111" spans="1:10">
      <c r="A111" s="872">
        <f t="shared" si="30"/>
        <v>72</v>
      </c>
      <c r="B111" s="877" t="s">
        <v>517</v>
      </c>
      <c r="C111" s="147"/>
      <c r="D111" s="147"/>
      <c r="E111" s="147"/>
      <c r="F111" s="147"/>
      <c r="G111" s="147"/>
      <c r="H111" s="147"/>
      <c r="I111" s="147"/>
      <c r="J111" s="874">
        <f t="shared" si="29"/>
        <v>0</v>
      </c>
    </row>
    <row r="112" spans="1:10">
      <c r="A112" s="872">
        <f t="shared" si="30"/>
        <v>73</v>
      </c>
      <c r="B112" s="878" t="s">
        <v>60</v>
      </c>
      <c r="C112" s="879">
        <f t="shared" ref="C112:J112" si="31">C106+C107+C108-C109-C110-C111</f>
        <v>0</v>
      </c>
      <c r="D112" s="879"/>
      <c r="E112" s="879">
        <f t="shared" si="31"/>
        <v>0</v>
      </c>
      <c r="F112" s="879">
        <f t="shared" si="31"/>
        <v>0</v>
      </c>
      <c r="G112" s="879">
        <f t="shared" si="31"/>
        <v>0</v>
      </c>
      <c r="H112" s="879">
        <f t="shared" si="31"/>
        <v>0</v>
      </c>
      <c r="I112" s="879">
        <f t="shared" si="31"/>
        <v>0</v>
      </c>
      <c r="J112" s="879">
        <f t="shared" si="31"/>
        <v>0</v>
      </c>
    </row>
    <row r="114" spans="1:10" ht="15">
      <c r="A114" s="846" t="s">
        <v>518</v>
      </c>
      <c r="B114" s="880"/>
      <c r="C114" s="880"/>
      <c r="D114" s="880"/>
      <c r="E114" s="880"/>
    </row>
    <row r="115" spans="1:10">
      <c r="A115" s="872">
        <f>A112+1</f>
        <v>74</v>
      </c>
      <c r="B115" s="849" t="s">
        <v>519</v>
      </c>
      <c r="C115" s="854"/>
      <c r="D115" s="901"/>
      <c r="E115" s="902"/>
      <c r="F115" s="901"/>
      <c r="G115" s="901"/>
      <c r="H115" s="854"/>
      <c r="I115" s="901"/>
      <c r="J115" s="881"/>
    </row>
    <row r="116" spans="1:10">
      <c r="A116" s="872">
        <f>A115+1</f>
        <v>75</v>
      </c>
      <c r="B116" s="849" t="s">
        <v>520</v>
      </c>
      <c r="C116" s="855"/>
      <c r="D116" s="903"/>
      <c r="E116" s="855"/>
      <c r="F116" s="903"/>
      <c r="G116" s="903"/>
      <c r="H116" s="855"/>
      <c r="I116" s="903"/>
      <c r="J116" s="882"/>
    </row>
    <row r="117" spans="1:10">
      <c r="A117" s="872">
        <f>A116+1</f>
        <v>76</v>
      </c>
      <c r="B117" s="849" t="s">
        <v>521</v>
      </c>
      <c r="C117" s="146"/>
      <c r="D117" s="904"/>
      <c r="E117" s="146"/>
      <c r="F117" s="904"/>
      <c r="G117" s="904"/>
      <c r="H117" s="146"/>
      <c r="I117" s="904"/>
    </row>
    <row r="118" spans="1:10">
      <c r="A118" s="872">
        <f>A117+1</f>
        <v>77</v>
      </c>
      <c r="B118" s="849"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79">
        <f>SUM(C118:I118)</f>
        <v>0</v>
      </c>
    </row>
    <row r="119" spans="1:10">
      <c r="A119" s="872">
        <f>A118+1</f>
        <v>78</v>
      </c>
      <c r="B119" s="849"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79">
        <f>SUM(C119:I119)</f>
        <v>0</v>
      </c>
    </row>
    <row r="121" spans="1:10">
      <c r="A121" s="872">
        <f>A119+1</f>
        <v>79</v>
      </c>
      <c r="B121" s="849" t="s">
        <v>519</v>
      </c>
      <c r="C121" s="854"/>
      <c r="D121" s="901"/>
      <c r="E121" s="902"/>
      <c r="F121" s="901"/>
      <c r="G121" s="901"/>
      <c r="H121" s="854"/>
      <c r="I121" s="901"/>
    </row>
    <row r="122" spans="1:10">
      <c r="A122" s="872">
        <f>A121+1</f>
        <v>80</v>
      </c>
      <c r="B122" s="849" t="s">
        <v>520</v>
      </c>
      <c r="C122" s="855"/>
      <c r="D122" s="903"/>
      <c r="E122" s="855"/>
      <c r="F122" s="903"/>
      <c r="G122" s="903"/>
      <c r="H122" s="855"/>
      <c r="I122" s="903"/>
    </row>
    <row r="123" spans="1:10">
      <c r="A123" s="872">
        <f>A122+1</f>
        <v>81</v>
      </c>
      <c r="B123" s="849" t="s">
        <v>521</v>
      </c>
      <c r="C123" s="146"/>
      <c r="D123" s="904"/>
      <c r="E123" s="146"/>
      <c r="F123" s="904"/>
      <c r="G123" s="904"/>
      <c r="H123" s="146"/>
      <c r="I123" s="904"/>
    </row>
    <row r="124" spans="1:10">
      <c r="A124" s="872">
        <f>A123+1</f>
        <v>82</v>
      </c>
      <c r="B124" s="849"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79">
        <f>SUM(C124:I124)</f>
        <v>0</v>
      </c>
    </row>
    <row r="125" spans="1:10">
      <c r="A125" s="872">
        <f>A124+1</f>
        <v>83</v>
      </c>
      <c r="B125" s="849"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79">
        <f>SUM(C125:I125)</f>
        <v>0</v>
      </c>
    </row>
    <row r="127" spans="1:10">
      <c r="A127" s="872">
        <f>A125+1</f>
        <v>84</v>
      </c>
      <c r="B127" s="849" t="s">
        <v>519</v>
      </c>
      <c r="C127" s="854"/>
      <c r="D127" s="901"/>
      <c r="E127" s="902"/>
      <c r="F127" s="901"/>
      <c r="G127" s="901"/>
      <c r="H127" s="854"/>
      <c r="I127" s="901"/>
    </row>
    <row r="128" spans="1:10">
      <c r="A128" s="872">
        <f>A127+1</f>
        <v>85</v>
      </c>
      <c r="B128" s="849" t="s">
        <v>520</v>
      </c>
      <c r="C128" s="855"/>
      <c r="D128" s="903"/>
      <c r="E128" s="855"/>
      <c r="F128" s="903"/>
      <c r="G128" s="903"/>
      <c r="H128" s="855"/>
      <c r="I128" s="903"/>
    </row>
    <row r="129" spans="1:10">
      <c r="A129" s="872">
        <f>A128+1</f>
        <v>86</v>
      </c>
      <c r="B129" s="849" t="s">
        <v>521</v>
      </c>
      <c r="C129" s="146"/>
      <c r="D129" s="904"/>
      <c r="E129" s="146"/>
      <c r="F129" s="904"/>
      <c r="G129" s="904"/>
      <c r="H129" s="146"/>
      <c r="I129" s="904"/>
    </row>
    <row r="130" spans="1:10">
      <c r="A130" s="872">
        <f>A129+1</f>
        <v>87</v>
      </c>
      <c r="B130" s="849"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79">
        <f>SUM(C130:I130)</f>
        <v>0</v>
      </c>
    </row>
    <row r="131" spans="1:10">
      <c r="A131" s="872">
        <f>A130+1</f>
        <v>88</v>
      </c>
      <c r="B131" s="849"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79">
        <f>SUM(C131:I131)</f>
        <v>0</v>
      </c>
    </row>
    <row r="133" spans="1:10">
      <c r="A133" s="872">
        <f>A131+1</f>
        <v>89</v>
      </c>
      <c r="B133" s="849" t="s">
        <v>519</v>
      </c>
      <c r="C133" s="854"/>
      <c r="D133" s="901"/>
      <c r="E133" s="902"/>
      <c r="F133" s="901"/>
      <c r="G133" s="901"/>
      <c r="H133" s="854"/>
      <c r="I133" s="901"/>
    </row>
    <row r="134" spans="1:10">
      <c r="A134" s="872">
        <f>A133+1</f>
        <v>90</v>
      </c>
      <c r="B134" s="849" t="s">
        <v>520</v>
      </c>
      <c r="C134" s="855"/>
      <c r="D134" s="903"/>
      <c r="E134" s="855"/>
      <c r="F134" s="903"/>
      <c r="G134" s="903"/>
      <c r="H134" s="855"/>
      <c r="I134" s="903"/>
    </row>
    <row r="135" spans="1:10">
      <c r="A135" s="872">
        <f>A134+1</f>
        <v>91</v>
      </c>
      <c r="B135" s="849" t="s">
        <v>521</v>
      </c>
      <c r="C135" s="146"/>
      <c r="D135" s="904"/>
      <c r="E135" s="146"/>
      <c r="F135" s="904"/>
      <c r="G135" s="904"/>
      <c r="H135" s="146"/>
      <c r="I135" s="904"/>
    </row>
    <row r="136" spans="1:10">
      <c r="A136" s="872">
        <f>A135+1</f>
        <v>92</v>
      </c>
      <c r="B136" s="849"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79">
        <f>SUM(C136:I136)</f>
        <v>0</v>
      </c>
    </row>
    <row r="137" spans="1:10">
      <c r="A137" s="872">
        <f>A136+1</f>
        <v>93</v>
      </c>
      <c r="B137" s="849"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79">
        <f>SUM(C137:I137)</f>
        <v>0</v>
      </c>
    </row>
    <row r="138" spans="1:10">
      <c r="B138" s="849"/>
    </row>
    <row r="139" spans="1:10">
      <c r="A139" s="872">
        <f>A137+1</f>
        <v>94</v>
      </c>
      <c r="B139" s="847" t="str">
        <f>"Preferred Stock (Lns "&amp;A118&amp;", "&amp;A124&amp;", "&amp;A130&amp;","&amp;A136&amp;")"</f>
        <v>Preferred Stock (Lns 77, 82, 87,92)</v>
      </c>
      <c r="C139" s="879">
        <f t="shared" ref="C139:I140" si="40">C118+C124+C130+C136</f>
        <v>0</v>
      </c>
      <c r="D139" s="879"/>
      <c r="E139" s="879">
        <f t="shared" si="40"/>
        <v>0</v>
      </c>
      <c r="F139" s="879">
        <f t="shared" si="40"/>
        <v>0</v>
      </c>
      <c r="G139" s="879">
        <f t="shared" si="40"/>
        <v>0</v>
      </c>
      <c r="H139" s="879">
        <f t="shared" si="40"/>
        <v>0</v>
      </c>
      <c r="I139" s="879">
        <f t="shared" si="40"/>
        <v>0</v>
      </c>
      <c r="J139" s="879">
        <f>SUM(C139:I139)</f>
        <v>0</v>
      </c>
    </row>
    <row r="140" spans="1:10">
      <c r="A140" s="872">
        <f>A139+1</f>
        <v>95</v>
      </c>
      <c r="B140" s="847" t="str">
        <f>"Preferred Dividends (Lns "&amp;A119&amp;", "&amp;A125&amp;", "&amp;A131&amp;","&amp;A137&amp;")"</f>
        <v>Preferred Dividends (Lns 78, 83, 88,93)</v>
      </c>
      <c r="C140" s="879">
        <f t="shared" si="40"/>
        <v>0</v>
      </c>
      <c r="D140" s="879"/>
      <c r="E140" s="879">
        <f t="shared" si="40"/>
        <v>0</v>
      </c>
      <c r="F140" s="879">
        <f t="shared" si="40"/>
        <v>0</v>
      </c>
      <c r="G140" s="879">
        <f t="shared" si="40"/>
        <v>0</v>
      </c>
      <c r="H140" s="879">
        <f t="shared" si="40"/>
        <v>0</v>
      </c>
      <c r="I140" s="879">
        <f t="shared" si="40"/>
        <v>0</v>
      </c>
      <c r="J140" s="879">
        <f>SUM(C140:I140)</f>
        <v>0</v>
      </c>
    </row>
    <row r="141" spans="1:10">
      <c r="B141" s="883"/>
    </row>
    <row r="142" spans="1:10" ht="15">
      <c r="A142" s="846" t="s">
        <v>522</v>
      </c>
    </row>
    <row r="143" spans="1:10">
      <c r="A143" s="872">
        <f>A140+1</f>
        <v>96</v>
      </c>
      <c r="B143" s="665" t="s">
        <v>523</v>
      </c>
      <c r="C143" s="146"/>
      <c r="D143" s="146"/>
      <c r="E143" s="146"/>
      <c r="F143" s="146"/>
      <c r="G143" s="146"/>
      <c r="H143" s="146"/>
      <c r="I143" s="146"/>
      <c r="J143" s="879">
        <f>SUM(C143:I143)</f>
        <v>0</v>
      </c>
    </row>
    <row r="144" spans="1:10">
      <c r="A144" s="872">
        <f>A143+1</f>
        <v>97</v>
      </c>
      <c r="B144" s="665" t="str">
        <f>"Less: Preferred Stock (Ln "&amp;A139&amp;" Above)"</f>
        <v>Less: Preferred Stock (Ln 94 Above)</v>
      </c>
      <c r="C144" s="489">
        <f>C139</f>
        <v>0</v>
      </c>
      <c r="D144" s="489"/>
      <c r="E144" s="489">
        <f>E139</f>
        <v>0</v>
      </c>
      <c r="F144" s="489">
        <f>F139</f>
        <v>0</v>
      </c>
      <c r="G144" s="489">
        <f>G139</f>
        <v>0</v>
      </c>
      <c r="H144" s="489">
        <f>H139</f>
        <v>0</v>
      </c>
      <c r="I144" s="489">
        <f>I139</f>
        <v>0</v>
      </c>
      <c r="J144" s="879">
        <f>SUM(C144:I144)</f>
        <v>0</v>
      </c>
    </row>
    <row r="145" spans="1:10">
      <c r="A145" s="872">
        <f>A144+1</f>
        <v>98</v>
      </c>
      <c r="B145" s="665" t="s">
        <v>524</v>
      </c>
      <c r="C145" s="853"/>
      <c r="D145" s="853"/>
      <c r="E145" s="853"/>
      <c r="F145" s="853"/>
      <c r="G145" s="853"/>
      <c r="H145" s="853"/>
      <c r="I145" s="853"/>
      <c r="J145" s="879">
        <f>SUM(C145:I145)</f>
        <v>0</v>
      </c>
    </row>
    <row r="146" spans="1:10">
      <c r="A146" s="872">
        <f>A145+1</f>
        <v>99</v>
      </c>
      <c r="B146" s="665" t="s">
        <v>525</v>
      </c>
      <c r="C146" s="147"/>
      <c r="D146" s="147"/>
      <c r="E146" s="147"/>
      <c r="F146" s="147"/>
      <c r="G146" s="147"/>
      <c r="H146" s="147"/>
      <c r="I146" s="147"/>
      <c r="J146" s="884">
        <f>SUM(C146:I146)</f>
        <v>0</v>
      </c>
    </row>
    <row r="147" spans="1:10">
      <c r="A147" s="872">
        <f>A146+1</f>
        <v>100</v>
      </c>
      <c r="B147" s="848" t="s">
        <v>526</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527</v>
      </c>
    </row>
    <row r="150" spans="1:10">
      <c r="A150" s="872">
        <f>A147+1</f>
        <v>101</v>
      </c>
      <c r="B150" s="468" t="str">
        <f>"Long Term Debt (Ln "&amp;A101&amp;" Above)"</f>
        <v>Long Term Debt (Ln 65 Above)</v>
      </c>
      <c r="C150" s="879">
        <f t="shared" ref="C150:J150" si="42">C101</f>
        <v>0</v>
      </c>
      <c r="D150" s="879"/>
      <c r="E150" s="879">
        <f t="shared" si="42"/>
        <v>0</v>
      </c>
      <c r="F150" s="879">
        <f t="shared" si="42"/>
        <v>0</v>
      </c>
      <c r="G150" s="879">
        <f t="shared" si="42"/>
        <v>0</v>
      </c>
      <c r="H150" s="879">
        <f t="shared" si="42"/>
        <v>0</v>
      </c>
      <c r="I150" s="879">
        <f t="shared" si="42"/>
        <v>0</v>
      </c>
      <c r="J150" s="879">
        <f t="shared" si="42"/>
        <v>0</v>
      </c>
    </row>
    <row r="151" spans="1:10">
      <c r="A151" s="872">
        <f>A150+1</f>
        <v>102</v>
      </c>
      <c r="B151" s="468" t="str">
        <f>"Preferred Stock (Ln "&amp;A139&amp;" Above)"</f>
        <v>Preferred Stock (Ln 94 Above)</v>
      </c>
      <c r="C151" s="879">
        <f t="shared" ref="C151:J151" si="43">C139</f>
        <v>0</v>
      </c>
      <c r="D151" s="879"/>
      <c r="E151" s="879">
        <f t="shared" si="43"/>
        <v>0</v>
      </c>
      <c r="F151" s="879">
        <f t="shared" si="43"/>
        <v>0</v>
      </c>
      <c r="G151" s="879">
        <f t="shared" si="43"/>
        <v>0</v>
      </c>
      <c r="H151" s="879">
        <f t="shared" si="43"/>
        <v>0</v>
      </c>
      <c r="I151" s="879">
        <f t="shared" si="43"/>
        <v>0</v>
      </c>
      <c r="J151" s="879">
        <f t="shared" si="43"/>
        <v>0</v>
      </c>
    </row>
    <row r="152" spans="1:10">
      <c r="A152" s="872">
        <f>A151+1</f>
        <v>103</v>
      </c>
      <c r="B152" s="468" t="str">
        <f>"Common Equity (Ln "&amp;A147&amp;" Above)"</f>
        <v>Common Equity (Ln 100 Above)</v>
      </c>
      <c r="C152" s="884">
        <f t="shared" ref="C152:J152" si="44">C147</f>
        <v>0</v>
      </c>
      <c r="D152" s="884"/>
      <c r="E152" s="884">
        <f t="shared" si="44"/>
        <v>0</v>
      </c>
      <c r="F152" s="884">
        <f t="shared" si="44"/>
        <v>0</v>
      </c>
      <c r="G152" s="884">
        <f t="shared" si="44"/>
        <v>0</v>
      </c>
      <c r="H152" s="884">
        <f t="shared" si="44"/>
        <v>0</v>
      </c>
      <c r="I152" s="884">
        <f t="shared" si="44"/>
        <v>0</v>
      </c>
      <c r="J152" s="884">
        <f t="shared" si="44"/>
        <v>0</v>
      </c>
    </row>
    <row r="153" spans="1:10">
      <c r="A153" s="872">
        <f>A152+1</f>
        <v>104</v>
      </c>
      <c r="B153" s="872" t="s">
        <v>528</v>
      </c>
      <c r="C153" s="879">
        <f t="shared" ref="C153:J153" si="45">SUM(C150:C152)</f>
        <v>0</v>
      </c>
      <c r="D153" s="879"/>
      <c r="E153" s="879">
        <f t="shared" si="45"/>
        <v>0</v>
      </c>
      <c r="F153" s="879">
        <f t="shared" si="45"/>
        <v>0</v>
      </c>
      <c r="G153" s="879">
        <f t="shared" si="45"/>
        <v>0</v>
      </c>
      <c r="H153" s="879">
        <f t="shared" si="45"/>
        <v>0</v>
      </c>
      <c r="I153" s="879">
        <f t="shared" si="45"/>
        <v>0</v>
      </c>
      <c r="J153" s="879">
        <f t="shared" si="45"/>
        <v>0</v>
      </c>
    </row>
    <row r="155" spans="1:10">
      <c r="A155" s="872">
        <f>A153+1</f>
        <v>105</v>
      </c>
      <c r="B155" s="468" t="str">
        <f>"LTD Capital Shares (Ln "&amp;A150&amp;" / Ln "&amp;A153&amp;")"</f>
        <v>LTD Capital Shares (Ln 101 / Ln 104)</v>
      </c>
      <c r="C155" s="885" t="e">
        <f t="shared" ref="C155:J155" si="46">C150/C153</f>
        <v>#DIV/0!</v>
      </c>
      <c r="D155" s="885"/>
      <c r="E155" s="885" t="e">
        <f t="shared" si="46"/>
        <v>#DIV/0!</v>
      </c>
      <c r="F155" s="885" t="e">
        <f t="shared" si="46"/>
        <v>#DIV/0!</v>
      </c>
      <c r="G155" s="885" t="e">
        <f t="shared" si="46"/>
        <v>#DIV/0!</v>
      </c>
      <c r="H155" s="885" t="e">
        <f t="shared" si="46"/>
        <v>#DIV/0!</v>
      </c>
      <c r="I155" s="885" t="e">
        <f t="shared" si="46"/>
        <v>#DIV/0!</v>
      </c>
      <c r="J155" s="885" t="e">
        <f t="shared" si="46"/>
        <v>#DIV/0!</v>
      </c>
    </row>
    <row r="156" spans="1:10">
      <c r="A156" s="872">
        <f>A155+1</f>
        <v>106</v>
      </c>
      <c r="B156" s="468" t="str">
        <f>"Preferred Stock Capital Shares (Ln "&amp;A151&amp;" / Ln "&amp;A153&amp;")"</f>
        <v>Preferred Stock Capital Shares (Ln 102 / Ln 104)</v>
      </c>
      <c r="C156" s="885" t="e">
        <f t="shared" ref="C156:J156" si="47">C151/C153</f>
        <v>#DIV/0!</v>
      </c>
      <c r="D156" s="885"/>
      <c r="E156" s="885" t="e">
        <f t="shared" si="47"/>
        <v>#DIV/0!</v>
      </c>
      <c r="F156" s="885" t="e">
        <f t="shared" si="47"/>
        <v>#DIV/0!</v>
      </c>
      <c r="G156" s="885" t="e">
        <f t="shared" si="47"/>
        <v>#DIV/0!</v>
      </c>
      <c r="H156" s="885" t="e">
        <f t="shared" si="47"/>
        <v>#DIV/0!</v>
      </c>
      <c r="I156" s="885" t="e">
        <f t="shared" si="47"/>
        <v>#DIV/0!</v>
      </c>
      <c r="J156" s="885" t="e">
        <f t="shared" si="47"/>
        <v>#DIV/0!</v>
      </c>
    </row>
    <row r="157" spans="1:10">
      <c r="A157" s="886">
        <f>A156+1</f>
        <v>107</v>
      </c>
      <c r="B157" s="468" t="str">
        <f>"Common Equity Capital Shares (Ln "&amp;A152&amp;" / Ln "&amp;A153&amp;")"</f>
        <v>Common Equity Capital Shares (Ln 103 / Ln 104)</v>
      </c>
      <c r="C157" s="887" t="e">
        <f t="shared" ref="C157:J157" si="48">C152/C153</f>
        <v>#DIV/0!</v>
      </c>
      <c r="D157" s="887"/>
      <c r="E157" s="887" t="e">
        <f t="shared" si="48"/>
        <v>#DIV/0!</v>
      </c>
      <c r="F157" s="887" t="e">
        <f t="shared" si="48"/>
        <v>#DIV/0!</v>
      </c>
      <c r="G157" s="887" t="e">
        <f t="shared" si="48"/>
        <v>#DIV/0!</v>
      </c>
      <c r="H157" s="887" t="e">
        <f t="shared" si="48"/>
        <v>#DIV/0!</v>
      </c>
      <c r="I157" s="887" t="e">
        <f t="shared" si="48"/>
        <v>#DIV/0!</v>
      </c>
      <c r="J157" s="887" t="e">
        <f t="shared" si="48"/>
        <v>#DIV/0!</v>
      </c>
    </row>
    <row r="158" spans="1:10">
      <c r="A158" s="886"/>
      <c r="B158" s="468"/>
      <c r="C158" s="887"/>
      <c r="D158" s="887"/>
      <c r="E158" s="887"/>
      <c r="F158" s="887"/>
      <c r="G158" s="887"/>
      <c r="H158" s="887"/>
      <c r="I158" s="887"/>
      <c r="J158" s="887"/>
    </row>
    <row r="159" spans="1:10">
      <c r="A159" s="886">
        <f>A157+1</f>
        <v>108</v>
      </c>
      <c r="B159" s="847" t="s">
        <v>558</v>
      </c>
      <c r="C159" s="888"/>
      <c r="D159" s="888"/>
      <c r="E159" s="888"/>
      <c r="F159" s="888"/>
      <c r="G159" s="888"/>
      <c r="H159" s="888"/>
      <c r="I159" s="888"/>
      <c r="J159" s="888"/>
    </row>
    <row r="160" spans="1:10">
      <c r="A160" s="886"/>
      <c r="B160" s="468"/>
      <c r="C160" s="887"/>
      <c r="D160" s="887"/>
      <c r="E160" s="887"/>
      <c r="F160" s="887"/>
      <c r="G160" s="887"/>
      <c r="H160" s="887"/>
      <c r="I160" s="887"/>
      <c r="J160" s="887"/>
    </row>
    <row r="161" spans="1:10">
      <c r="A161" s="886">
        <f>A159+1</f>
        <v>109</v>
      </c>
      <c r="B161" s="847" t="s">
        <v>558</v>
      </c>
      <c r="C161" s="887"/>
      <c r="D161" s="887"/>
      <c r="E161" s="887"/>
      <c r="F161" s="887"/>
      <c r="G161" s="887"/>
      <c r="H161" s="887"/>
      <c r="I161" s="887"/>
      <c r="J161" s="887"/>
    </row>
    <row r="162" spans="1:10">
      <c r="A162" s="886">
        <f>A161+1</f>
        <v>110</v>
      </c>
      <c r="B162" s="847" t="s">
        <v>558</v>
      </c>
      <c r="C162" s="887"/>
      <c r="D162" s="887"/>
      <c r="E162" s="887"/>
      <c r="F162" s="887"/>
      <c r="G162" s="887"/>
      <c r="H162" s="887"/>
      <c r="I162" s="887"/>
      <c r="J162" s="887"/>
    </row>
    <row r="163" spans="1:10">
      <c r="A163" s="886">
        <f>A162+1</f>
        <v>111</v>
      </c>
      <c r="B163" s="847" t="s">
        <v>558</v>
      </c>
      <c r="C163" s="887"/>
      <c r="D163" s="887"/>
      <c r="E163" s="887"/>
      <c r="F163" s="887"/>
      <c r="G163" s="887"/>
      <c r="H163" s="887"/>
      <c r="I163" s="887"/>
      <c r="J163" s="887"/>
    </row>
    <row r="164" spans="1:10">
      <c r="B164" s="468"/>
      <c r="C164" s="885"/>
      <c r="D164" s="885"/>
      <c r="E164" s="885"/>
      <c r="F164" s="885"/>
      <c r="G164" s="885"/>
      <c r="H164" s="885"/>
      <c r="I164" s="885"/>
      <c r="J164" s="885"/>
    </row>
    <row r="165" spans="1:10" ht="15">
      <c r="A165" s="846" t="s">
        <v>529</v>
      </c>
    </row>
    <row r="166" spans="1:10">
      <c r="A166" s="872">
        <f>A163+1</f>
        <v>112</v>
      </c>
      <c r="B166" s="468" t="str">
        <f>"LTD Capital Cost Rate (Ln "&amp;A112&amp;" / Ln "&amp;A101&amp;")"</f>
        <v>LTD Capital Cost Rate (Ln 73 / Ln 65)</v>
      </c>
      <c r="C166" s="885" t="e">
        <f t="shared" ref="C166:J166" si="49">C112/C101</f>
        <v>#DIV/0!</v>
      </c>
      <c r="D166" s="885"/>
      <c r="E166" s="885" t="e">
        <f t="shared" si="49"/>
        <v>#DIV/0!</v>
      </c>
      <c r="F166" s="885" t="e">
        <f t="shared" si="49"/>
        <v>#DIV/0!</v>
      </c>
      <c r="G166" s="885" t="e">
        <f t="shared" si="49"/>
        <v>#DIV/0!</v>
      </c>
      <c r="H166" s="885" t="e">
        <f t="shared" si="49"/>
        <v>#DIV/0!</v>
      </c>
      <c r="I166" s="885" t="e">
        <f t="shared" si="49"/>
        <v>#DIV/0!</v>
      </c>
      <c r="J166" s="885" t="e">
        <f t="shared" si="49"/>
        <v>#DIV/0!</v>
      </c>
    </row>
    <row r="167" spans="1:10">
      <c r="A167" s="872">
        <f>A166+1</f>
        <v>113</v>
      </c>
      <c r="B167" s="468" t="str">
        <f>"Preferred Stock Capital Cost Rate (Ln "&amp;A140&amp;" / Ln "&amp;A139&amp;")"</f>
        <v>Preferred Stock Capital Cost Rate (Ln 95 / Ln 94)</v>
      </c>
      <c r="C167" s="885">
        <f t="shared" ref="C167:J167" si="50">IF(C139=0,0,C140/C139)</f>
        <v>0</v>
      </c>
      <c r="D167" s="885"/>
      <c r="E167" s="885">
        <f t="shared" si="50"/>
        <v>0</v>
      </c>
      <c r="F167" s="885">
        <f t="shared" si="50"/>
        <v>0</v>
      </c>
      <c r="G167" s="885">
        <f t="shared" si="50"/>
        <v>0</v>
      </c>
      <c r="H167" s="885">
        <f t="shared" si="50"/>
        <v>0</v>
      </c>
      <c r="I167" s="885">
        <f t="shared" si="50"/>
        <v>0</v>
      </c>
      <c r="J167" s="885">
        <f t="shared" si="50"/>
        <v>0</v>
      </c>
    </row>
    <row r="168" spans="1:10">
      <c r="A168" s="872">
        <f>A167+1</f>
        <v>114</v>
      </c>
      <c r="B168" s="468" t="s">
        <v>530</v>
      </c>
      <c r="C168" s="885">
        <v>0.1149</v>
      </c>
      <c r="D168" s="885"/>
      <c r="E168" s="885">
        <v>0.1149</v>
      </c>
      <c r="F168" s="885">
        <v>0.1149</v>
      </c>
      <c r="G168" s="885">
        <v>0.1149</v>
      </c>
      <c r="H168" s="885">
        <v>0.1149</v>
      </c>
      <c r="I168" s="885">
        <v>0.1149</v>
      </c>
      <c r="J168" s="885">
        <v>0.1149</v>
      </c>
    </row>
    <row r="170" spans="1:10" ht="15">
      <c r="A170" s="846" t="s">
        <v>531</v>
      </c>
    </row>
    <row r="171" spans="1:10">
      <c r="A171" s="872">
        <f>A168+1</f>
        <v>115</v>
      </c>
      <c r="B171" s="468" t="str">
        <f>"LTD Weighted Capital Cost Rate (Ln "&amp;A155&amp;" * Ln "&amp;A166&amp;")"</f>
        <v>LTD Weighted Capital Cost Rate (Ln 105 * Ln 112)</v>
      </c>
      <c r="C171" s="885" t="e">
        <f>C155*C166</f>
        <v>#DIV/0!</v>
      </c>
      <c r="D171" s="885"/>
      <c r="E171" s="885" t="e">
        <f t="shared" ref="E171:J171" si="51">E155*E166</f>
        <v>#DIV/0!</v>
      </c>
      <c r="F171" s="885" t="e">
        <f t="shared" si="51"/>
        <v>#DIV/0!</v>
      </c>
      <c r="G171" s="885" t="e">
        <f t="shared" si="51"/>
        <v>#DIV/0!</v>
      </c>
      <c r="H171" s="885" t="e">
        <f t="shared" si="51"/>
        <v>#DIV/0!</v>
      </c>
      <c r="I171" s="885" t="e">
        <f t="shared" si="51"/>
        <v>#DIV/0!</v>
      </c>
      <c r="J171" s="885" t="e">
        <f t="shared" si="51"/>
        <v>#DIV/0!</v>
      </c>
    </row>
    <row r="172" spans="1:10">
      <c r="A172" s="872">
        <f>A171+1</f>
        <v>116</v>
      </c>
      <c r="B172" s="468" t="str">
        <f>"Preferred Stock Capital Cost Rate (Ln "&amp;A156&amp;" * Ln "&amp;A167&amp;")"</f>
        <v>Preferred Stock Capital Cost Rate (Ln 106 * Ln 113)</v>
      </c>
      <c r="C172" s="885" t="e">
        <f>C156*C167</f>
        <v>#DIV/0!</v>
      </c>
      <c r="D172" s="885"/>
      <c r="E172" s="885" t="e">
        <f t="shared" ref="E172:J172" si="52">E156*E167</f>
        <v>#DIV/0!</v>
      </c>
      <c r="F172" s="885" t="e">
        <f t="shared" si="52"/>
        <v>#DIV/0!</v>
      </c>
      <c r="G172" s="885" t="e">
        <f t="shared" si="52"/>
        <v>#DIV/0!</v>
      </c>
      <c r="H172" s="885" t="e">
        <f t="shared" si="52"/>
        <v>#DIV/0!</v>
      </c>
      <c r="I172" s="885" t="e">
        <f t="shared" si="52"/>
        <v>#DIV/0!</v>
      </c>
      <c r="J172" s="885" t="e">
        <f t="shared" si="52"/>
        <v>#DIV/0!</v>
      </c>
    </row>
    <row r="173" spans="1:10">
      <c r="A173" s="872">
        <f>A172+1</f>
        <v>117</v>
      </c>
      <c r="B173" s="468" t="str">
        <f>"Common Equity Capital Cost Rate (Ln "&amp;A157&amp;" * Ln "&amp;A168&amp;")"</f>
        <v>Common Equity Capital Cost Rate (Ln 107 * Ln 114)</v>
      </c>
      <c r="C173" s="889" t="e">
        <f>C157*C168</f>
        <v>#DIV/0!</v>
      </c>
      <c r="D173" s="889"/>
      <c r="E173" s="889" t="e">
        <f t="shared" ref="E173:J173" si="53">E157*E168</f>
        <v>#DIV/0!</v>
      </c>
      <c r="F173" s="889" t="e">
        <f t="shared" si="53"/>
        <v>#DIV/0!</v>
      </c>
      <c r="G173" s="889" t="e">
        <f t="shared" si="53"/>
        <v>#DIV/0!</v>
      </c>
      <c r="H173" s="889" t="e">
        <f t="shared" si="53"/>
        <v>#DIV/0!</v>
      </c>
      <c r="I173" s="889" t="e">
        <f t="shared" si="53"/>
        <v>#DIV/0!</v>
      </c>
      <c r="J173" s="889" t="e">
        <f t="shared" si="53"/>
        <v>#DIV/0!</v>
      </c>
    </row>
    <row r="174" spans="1:10">
      <c r="A174" s="872">
        <f>A173+1</f>
        <v>118</v>
      </c>
      <c r="B174" s="890" t="s">
        <v>528</v>
      </c>
      <c r="C174" s="891" t="e">
        <f t="shared" ref="C174:J174" si="54">SUM(C171:C173)</f>
        <v>#DIV/0!</v>
      </c>
      <c r="D174" s="891"/>
      <c r="E174" s="891" t="e">
        <f t="shared" si="54"/>
        <v>#DIV/0!</v>
      </c>
      <c r="F174" s="891" t="e">
        <f t="shared" si="54"/>
        <v>#DIV/0!</v>
      </c>
      <c r="G174" s="891" t="e">
        <f t="shared" si="54"/>
        <v>#DIV/0!</v>
      </c>
      <c r="H174" s="891" t="e">
        <f t="shared" si="54"/>
        <v>#DIV/0!</v>
      </c>
      <c r="I174" s="891" t="e">
        <f t="shared" si="54"/>
        <v>#DIV/0!</v>
      </c>
      <c r="J174" s="891" t="e">
        <f t="shared" si="54"/>
        <v>#DIV/0!</v>
      </c>
    </row>
    <row r="177" spans="1:10">
      <c r="A177" s="1579" t="s">
        <v>507</v>
      </c>
      <c r="B177" s="1579"/>
      <c r="C177" s="1579"/>
      <c r="D177" s="1579"/>
      <c r="E177" s="1579"/>
      <c r="F177" s="1579"/>
      <c r="G177" s="1579"/>
      <c r="H177" s="1579"/>
      <c r="I177" s="1579"/>
      <c r="J177" s="1579"/>
    </row>
    <row r="178" spans="1:10">
      <c r="A178" s="1579" t="s">
        <v>532</v>
      </c>
      <c r="B178" s="1579"/>
      <c r="C178" s="1579"/>
      <c r="D178" s="1579"/>
      <c r="E178" s="1579"/>
      <c r="F178" s="1579"/>
      <c r="G178" s="1579"/>
      <c r="H178" s="1579"/>
      <c r="I178" s="1579"/>
      <c r="J178" s="1579"/>
    </row>
    <row r="179" spans="1:10">
      <c r="A179" s="1579" t="s">
        <v>250</v>
      </c>
      <c r="B179" s="1579"/>
      <c r="C179" s="1579"/>
      <c r="D179" s="1579"/>
      <c r="E179" s="1579"/>
      <c r="F179" s="1579"/>
      <c r="G179" s="1579"/>
      <c r="H179" s="1579"/>
      <c r="I179" s="1579"/>
      <c r="J179" s="1579"/>
    </row>
    <row r="181" spans="1:10" ht="76.5">
      <c r="A181" s="872" t="s">
        <v>461</v>
      </c>
      <c r="C181" s="873" t="s">
        <v>508</v>
      </c>
      <c r="D181" s="873"/>
      <c r="E181" s="873" t="s">
        <v>509</v>
      </c>
      <c r="F181" s="873" t="s">
        <v>510</v>
      </c>
      <c r="G181" s="873" t="s">
        <v>511</v>
      </c>
      <c r="H181" s="873" t="s">
        <v>512</v>
      </c>
      <c r="I181" s="873" t="s">
        <v>513</v>
      </c>
      <c r="J181" s="873" t="s">
        <v>514</v>
      </c>
    </row>
    <row r="182" spans="1:10" ht="15">
      <c r="A182" s="846" t="s">
        <v>533</v>
      </c>
    </row>
    <row r="183" spans="1:10">
      <c r="A183" s="872">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72">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72">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72">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72">
        <f>A186+1</f>
        <v>123</v>
      </c>
      <c r="B187" s="851" t="str">
        <f>"Less: Average Fair Value Hedges (See Note on Ln "&amp;A190&amp;" below)"</f>
        <v>Less: Average Fair Value Hedges (See Note on Ln 125 below)</v>
      </c>
      <c r="C187" s="892" t="e">
        <f t="shared" si="55"/>
        <v>#DIV/0!</v>
      </c>
      <c r="D187" s="892"/>
      <c r="E187" s="892" t="e">
        <f t="shared" si="55"/>
        <v>#DIV/0!</v>
      </c>
      <c r="F187" s="892" t="e">
        <f t="shared" si="55"/>
        <v>#DIV/0!</v>
      </c>
      <c r="G187" s="892" t="e">
        <f t="shared" si="55"/>
        <v>#DIV/0!</v>
      </c>
      <c r="H187" s="892" t="e">
        <f t="shared" si="55"/>
        <v>#DIV/0!</v>
      </c>
      <c r="I187" s="892" t="e">
        <f t="shared" si="55"/>
        <v>#DIV/0!</v>
      </c>
      <c r="J187" s="874" t="e">
        <f>SUM(C187:I187)</f>
        <v>#DIV/0!</v>
      </c>
    </row>
    <row r="188" spans="1:10">
      <c r="A188" s="872">
        <f>A187+1</f>
        <v>124</v>
      </c>
      <c r="B188" s="852" t="s">
        <v>534</v>
      </c>
      <c r="C188" s="875" t="e">
        <f t="shared" ref="C188:J188" si="56">C183-C184+C185+C186-C187</f>
        <v>#DIV/0!</v>
      </c>
      <c r="D188" s="875"/>
      <c r="E188" s="875" t="e">
        <f t="shared" si="56"/>
        <v>#DIV/0!</v>
      </c>
      <c r="F188" s="875" t="e">
        <f t="shared" si="56"/>
        <v>#DIV/0!</v>
      </c>
      <c r="G188" s="875" t="e">
        <f t="shared" si="56"/>
        <v>#DIV/0!</v>
      </c>
      <c r="H188" s="875" t="e">
        <f t="shared" si="56"/>
        <v>#DIV/0!</v>
      </c>
      <c r="I188" s="875" t="e">
        <f t="shared" si="56"/>
        <v>#DIV/0!</v>
      </c>
      <c r="J188" s="875" t="e">
        <f t="shared" si="56"/>
        <v>#DIV/0!</v>
      </c>
    </row>
    <row r="190" spans="1:10" s="886" customFormat="1">
      <c r="A190" s="886">
        <f>A188+1</f>
        <v>125</v>
      </c>
      <c r="B190" s="1578" t="s">
        <v>57</v>
      </c>
      <c r="C190" s="1578"/>
      <c r="D190" s="1578"/>
      <c r="E190" s="1578"/>
      <c r="F190" s="1578"/>
      <c r="G190" s="1578"/>
      <c r="H190" s="1578"/>
      <c r="I190" s="1578"/>
      <c r="J190" s="1578"/>
    </row>
    <row r="191" spans="1:10" s="886" customFormat="1">
      <c r="A191" s="893"/>
      <c r="B191" s="876"/>
      <c r="C191" s="876"/>
      <c r="D191" s="876"/>
      <c r="E191" s="876"/>
      <c r="F191" s="876"/>
      <c r="G191" s="876"/>
      <c r="H191" s="876"/>
      <c r="I191" s="876"/>
      <c r="J191" s="876"/>
    </row>
    <row r="192" spans="1:10" ht="15">
      <c r="A192" s="846" t="str">
        <f>"Development of "&amp;TCOS!O3&amp;" Long Term Debt Interest Expense"</f>
        <v>Development of   Long Term Debt Interest Expense</v>
      </c>
      <c r="B192" s="886"/>
      <c r="C192" s="886"/>
      <c r="D192" s="886"/>
      <c r="E192" s="886"/>
      <c r="F192" s="886"/>
      <c r="G192" s="886"/>
      <c r="H192" s="886"/>
      <c r="I192" s="886"/>
      <c r="J192" s="886"/>
    </row>
    <row r="193" spans="1:10">
      <c r="A193" s="886">
        <f>A190+1</f>
        <v>126</v>
      </c>
      <c r="B193" s="851"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886">
        <f t="shared" ref="A194:A199" si="59">A193+1</f>
        <v>127</v>
      </c>
      <c r="B194" s="851"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886">
        <f t="shared" si="59"/>
        <v>128</v>
      </c>
      <c r="B195" s="851"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886">
        <f t="shared" si="59"/>
        <v>129</v>
      </c>
      <c r="B196" s="851"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3">
        <f t="shared" si="58"/>
        <v>0</v>
      </c>
    </row>
    <row r="197" spans="1:10">
      <c r="A197" s="886">
        <f t="shared" si="59"/>
        <v>130</v>
      </c>
      <c r="B197" s="851"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3">
        <f t="shared" si="58"/>
        <v>0</v>
      </c>
    </row>
    <row r="198" spans="1:10">
      <c r="A198" s="886">
        <f t="shared" si="59"/>
        <v>131</v>
      </c>
      <c r="B198" s="894" t="str">
        <f t="shared" si="60"/>
        <v>Less: Hedge Interest on pp 256-257(i)</v>
      </c>
      <c r="C198" s="892">
        <f>C24</f>
        <v>0</v>
      </c>
      <c r="D198" s="892"/>
      <c r="E198" s="892">
        <f t="shared" si="63"/>
        <v>0</v>
      </c>
      <c r="F198" s="892">
        <f t="shared" si="63"/>
        <v>0</v>
      </c>
      <c r="G198" s="892">
        <f t="shared" si="63"/>
        <v>0</v>
      </c>
      <c r="H198" s="892">
        <f t="shared" si="63"/>
        <v>0</v>
      </c>
      <c r="I198" s="892">
        <f t="shared" si="63"/>
        <v>0</v>
      </c>
      <c r="J198" s="874">
        <f t="shared" si="58"/>
        <v>0</v>
      </c>
    </row>
    <row r="199" spans="1:10">
      <c r="A199" s="886">
        <f t="shared" si="59"/>
        <v>132</v>
      </c>
      <c r="B199" s="895" t="str">
        <f>""&amp;TCOS!O3&amp;" LTD Interest Expense"</f>
        <v xml:space="preserve">  LTD Interest Expense</v>
      </c>
      <c r="C199" s="896">
        <f t="shared" ref="C199:J199" si="64">C193+C194+C195-C196-C197-C198</f>
        <v>0</v>
      </c>
      <c r="D199" s="896"/>
      <c r="E199" s="896">
        <f t="shared" si="64"/>
        <v>0</v>
      </c>
      <c r="F199" s="896">
        <f t="shared" si="64"/>
        <v>0</v>
      </c>
      <c r="G199" s="896">
        <f t="shared" si="64"/>
        <v>0</v>
      </c>
      <c r="H199" s="896">
        <f t="shared" si="64"/>
        <v>0</v>
      </c>
      <c r="I199" s="896">
        <f t="shared" si="64"/>
        <v>0</v>
      </c>
      <c r="J199" s="896">
        <f t="shared" si="64"/>
        <v>0</v>
      </c>
    </row>
    <row r="200" spans="1:10">
      <c r="A200" s="886"/>
      <c r="B200" s="886"/>
      <c r="C200" s="886"/>
      <c r="D200" s="886"/>
      <c r="E200" s="886"/>
      <c r="F200" s="886"/>
      <c r="G200" s="886"/>
      <c r="H200" s="886"/>
      <c r="I200" s="886"/>
      <c r="J200" s="886"/>
    </row>
    <row r="201" spans="1:10" ht="15">
      <c r="A201" s="846" t="str">
        <f>""&amp;TCOS!O3&amp;" Cost of Preferred Stock and Preferred Dividends"</f>
        <v xml:space="preserve">  Cost of Preferred Stock and Preferred Dividends</v>
      </c>
      <c r="B201" s="897"/>
      <c r="C201" s="897"/>
      <c r="D201" s="897"/>
      <c r="E201" s="897"/>
      <c r="F201" s="886"/>
      <c r="G201" s="886"/>
      <c r="H201" s="886"/>
      <c r="I201" s="886"/>
      <c r="J201" s="886"/>
    </row>
    <row r="202" spans="1:10">
      <c r="A202" s="886">
        <f>A199+1</f>
        <v>133</v>
      </c>
      <c r="B202" s="468" t="str">
        <f>"Average Balance of Preferred Stock (Ln "&amp;A52&amp;" + Ln "&amp;A139&amp;") / 2"</f>
        <v>Average Balance of Preferred Stock (Ln 35 + Ln 94) / 2</v>
      </c>
      <c r="C202" s="896">
        <f>AVERAGE(C52,C139)</f>
        <v>0</v>
      </c>
      <c r="D202" s="896"/>
      <c r="E202" s="896">
        <f t="shared" ref="E202:J202" si="65">AVERAGE(E52,E139)</f>
        <v>0</v>
      </c>
      <c r="F202" s="896">
        <f t="shared" si="65"/>
        <v>0</v>
      </c>
      <c r="G202" s="896">
        <f t="shared" si="65"/>
        <v>0</v>
      </c>
      <c r="H202" s="896">
        <f t="shared" si="65"/>
        <v>0</v>
      </c>
      <c r="I202" s="896">
        <f t="shared" si="65"/>
        <v>0</v>
      </c>
      <c r="J202" s="896">
        <f t="shared" si="65"/>
        <v>0</v>
      </c>
    </row>
    <row r="203" spans="1:10">
      <c r="A203" s="886">
        <f>A202+1</f>
        <v>134</v>
      </c>
      <c r="B203" s="468" t="str">
        <f>""&amp;TCOS!O3&amp;" Preferred Dividends (Ln "&amp;A53&amp;")"</f>
        <v xml:space="preserve">  Preferred Dividends (Ln 36)</v>
      </c>
      <c r="C203" s="896">
        <f>C53</f>
        <v>0</v>
      </c>
      <c r="D203" s="896"/>
      <c r="E203" s="896">
        <f t="shared" ref="E203:J203" si="66">E53</f>
        <v>0</v>
      </c>
      <c r="F203" s="896">
        <f t="shared" si="66"/>
        <v>0</v>
      </c>
      <c r="G203" s="896">
        <f t="shared" si="66"/>
        <v>0</v>
      </c>
      <c r="H203" s="896">
        <f t="shared" si="66"/>
        <v>0</v>
      </c>
      <c r="I203" s="896">
        <f t="shared" si="66"/>
        <v>0</v>
      </c>
      <c r="J203" s="896">
        <f t="shared" si="66"/>
        <v>0</v>
      </c>
    </row>
    <row r="204" spans="1:10">
      <c r="B204" s="893"/>
    </row>
    <row r="205" spans="1:10" ht="15">
      <c r="A205" s="846" t="s">
        <v>535</v>
      </c>
    </row>
    <row r="206" spans="1:10">
      <c r="A206" s="872">
        <f>A203+1</f>
        <v>135</v>
      </c>
      <c r="B206" s="665"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79" t="e">
        <f>SUM(C206:I206)</f>
        <v>#DIV/0!</v>
      </c>
    </row>
    <row r="207" spans="1:10">
      <c r="A207" s="872">
        <f>A206+1</f>
        <v>136</v>
      </c>
      <c r="B207" s="665"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79">
        <f>SUM(C207:I207)</f>
        <v>0</v>
      </c>
    </row>
    <row r="208" spans="1:10">
      <c r="A208" s="872">
        <f>A207+1</f>
        <v>137</v>
      </c>
      <c r="B208" s="665"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79" t="e">
        <f>SUM(C208:I208)</f>
        <v>#DIV/0!</v>
      </c>
    </row>
    <row r="209" spans="1:12">
      <c r="A209" s="872">
        <f>A208+1</f>
        <v>138</v>
      </c>
      <c r="B209" s="665" t="str">
        <f>"Less: Average Account 219.1 (Ln "&amp;A59&amp;" + Ln "&amp;A146&amp;") / 2"</f>
        <v>Less: Average Account 219.1 (Ln 40 + Ln 99) / 2</v>
      </c>
      <c r="C209" s="892" t="e">
        <f t="shared" si="69"/>
        <v>#DIV/0!</v>
      </c>
      <c r="D209" s="892"/>
      <c r="E209" s="892" t="e">
        <f t="shared" si="69"/>
        <v>#DIV/0!</v>
      </c>
      <c r="F209" s="892" t="e">
        <f t="shared" si="69"/>
        <v>#DIV/0!</v>
      </c>
      <c r="G209" s="892" t="e">
        <f t="shared" si="69"/>
        <v>#DIV/0!</v>
      </c>
      <c r="H209" s="892" t="e">
        <f t="shared" si="69"/>
        <v>#DIV/0!</v>
      </c>
      <c r="I209" s="892" t="e">
        <f t="shared" si="69"/>
        <v>#DIV/0!</v>
      </c>
      <c r="J209" s="884" t="e">
        <f>SUM(C209:I209)</f>
        <v>#DIV/0!</v>
      </c>
    </row>
    <row r="210" spans="1:12">
      <c r="A210" s="872">
        <f>A209+1</f>
        <v>139</v>
      </c>
      <c r="B210" s="848" t="s">
        <v>331</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527</v>
      </c>
    </row>
    <row r="213" spans="1:12">
      <c r="A213" s="872">
        <f>A210+1</f>
        <v>140</v>
      </c>
      <c r="B213" s="468" t="str">
        <f>"Average Balance of Long Term Debt (Ln "&amp;A188&amp;" Above)"</f>
        <v>Average Balance of Long Term Debt (Ln 124 Above)</v>
      </c>
      <c r="C213" s="879" t="e">
        <f t="shared" ref="C213:J213" si="71">C188</f>
        <v>#DIV/0!</v>
      </c>
      <c r="D213" s="879"/>
      <c r="E213" s="879" t="e">
        <f t="shared" si="71"/>
        <v>#DIV/0!</v>
      </c>
      <c r="F213" s="879" t="e">
        <f t="shared" si="71"/>
        <v>#DIV/0!</v>
      </c>
      <c r="G213" s="879" t="e">
        <f t="shared" si="71"/>
        <v>#DIV/0!</v>
      </c>
      <c r="H213" s="879" t="e">
        <f t="shared" si="71"/>
        <v>#DIV/0!</v>
      </c>
      <c r="I213" s="879" t="e">
        <f t="shared" si="71"/>
        <v>#DIV/0!</v>
      </c>
      <c r="J213" s="879" t="e">
        <f t="shared" si="71"/>
        <v>#DIV/0!</v>
      </c>
    </row>
    <row r="214" spans="1:12">
      <c r="A214" s="872">
        <f>A213+1</f>
        <v>141</v>
      </c>
      <c r="B214" s="468" t="str">
        <f>"Average Balance of Preferred Stock (Ln "&amp;A202&amp;" Above)"</f>
        <v>Average Balance of Preferred Stock (Ln 133 Above)</v>
      </c>
      <c r="C214" s="879">
        <f t="shared" ref="C214:J214" si="72">C202</f>
        <v>0</v>
      </c>
      <c r="D214" s="879"/>
      <c r="E214" s="879">
        <f t="shared" si="72"/>
        <v>0</v>
      </c>
      <c r="F214" s="879">
        <f t="shared" si="72"/>
        <v>0</v>
      </c>
      <c r="G214" s="879">
        <f t="shared" si="72"/>
        <v>0</v>
      </c>
      <c r="H214" s="879">
        <f t="shared" si="72"/>
        <v>0</v>
      </c>
      <c r="I214" s="879">
        <f t="shared" si="72"/>
        <v>0</v>
      </c>
      <c r="J214" s="879">
        <f t="shared" si="72"/>
        <v>0</v>
      </c>
    </row>
    <row r="215" spans="1:12">
      <c r="A215" s="872">
        <f>A214+1</f>
        <v>142</v>
      </c>
      <c r="B215" s="468" t="str">
        <f>"Average Balance of Common Equity (Ln "&amp;A210&amp;" Above)"</f>
        <v>Average Balance of Common Equity (Ln 139 Above)</v>
      </c>
      <c r="C215" s="884" t="e">
        <f t="shared" ref="C215:J215" si="73">C210</f>
        <v>#DIV/0!</v>
      </c>
      <c r="D215" s="884"/>
      <c r="E215" s="884" t="e">
        <f t="shared" si="73"/>
        <v>#DIV/0!</v>
      </c>
      <c r="F215" s="884" t="e">
        <f t="shared" si="73"/>
        <v>#DIV/0!</v>
      </c>
      <c r="G215" s="884" t="e">
        <f t="shared" si="73"/>
        <v>#DIV/0!</v>
      </c>
      <c r="H215" s="884" t="e">
        <f t="shared" si="73"/>
        <v>#DIV/0!</v>
      </c>
      <c r="I215" s="884" t="e">
        <f t="shared" si="73"/>
        <v>#DIV/0!</v>
      </c>
      <c r="J215" s="884" t="e">
        <f t="shared" si="73"/>
        <v>#DIV/0!</v>
      </c>
    </row>
    <row r="216" spans="1:12">
      <c r="A216" s="872">
        <f>A215+1</f>
        <v>143</v>
      </c>
      <c r="B216" s="872" t="s">
        <v>536</v>
      </c>
      <c r="C216" s="879" t="e">
        <f t="shared" ref="C216:J216" si="74">SUM(C213:C215)</f>
        <v>#DIV/0!</v>
      </c>
      <c r="D216" s="879"/>
      <c r="E216" s="879" t="e">
        <f t="shared" si="74"/>
        <v>#DIV/0!</v>
      </c>
      <c r="F216" s="879" t="e">
        <f t="shared" si="74"/>
        <v>#DIV/0!</v>
      </c>
      <c r="G216" s="879" t="e">
        <f t="shared" si="74"/>
        <v>#DIV/0!</v>
      </c>
      <c r="H216" s="879" t="e">
        <f t="shared" si="74"/>
        <v>#DIV/0!</v>
      </c>
      <c r="I216" s="879" t="e">
        <f t="shared" si="74"/>
        <v>#DIV/0!</v>
      </c>
      <c r="J216" s="879" t="e">
        <f t="shared" si="74"/>
        <v>#DIV/0!</v>
      </c>
      <c r="L216" s="898"/>
    </row>
    <row r="218" spans="1:12">
      <c r="A218" s="872">
        <f>A216+1</f>
        <v>144</v>
      </c>
      <c r="B218" s="468" t="str">
        <f>"Average Balance of LTD Capital Shares (Ln "&amp;A213&amp;" / Ln "&amp;A216&amp;")"</f>
        <v>Average Balance of LTD Capital Shares (Ln 140 / Ln 143)</v>
      </c>
      <c r="C218" s="885" t="e">
        <f t="shared" ref="C218:I218" si="75">C213/C216</f>
        <v>#DIV/0!</v>
      </c>
      <c r="D218" s="885"/>
      <c r="E218" s="885" t="e">
        <f t="shared" si="75"/>
        <v>#DIV/0!</v>
      </c>
      <c r="F218" s="885" t="e">
        <f t="shared" si="75"/>
        <v>#DIV/0!</v>
      </c>
      <c r="G218" s="885" t="e">
        <f t="shared" si="75"/>
        <v>#DIV/0!</v>
      </c>
      <c r="H218" s="885" t="e">
        <f t="shared" si="75"/>
        <v>#DIV/0!</v>
      </c>
      <c r="I218" s="885" t="e">
        <f t="shared" si="75"/>
        <v>#DIV/0!</v>
      </c>
      <c r="J218" s="885" t="e">
        <f>J213/J216</f>
        <v>#DIV/0!</v>
      </c>
    </row>
    <row r="219" spans="1:12">
      <c r="A219" s="872">
        <f>A218+1</f>
        <v>145</v>
      </c>
      <c r="B219" s="468" t="str">
        <f>"Average Balance of Preferred Stock Capital Shares (Ln "&amp;A214&amp;" / Ln "&amp;A216&amp;")"</f>
        <v>Average Balance of Preferred Stock Capital Shares (Ln 141 / Ln 143)</v>
      </c>
      <c r="C219" s="885" t="e">
        <f t="shared" ref="C219:I219" si="76">C214/C216</f>
        <v>#DIV/0!</v>
      </c>
      <c r="D219" s="885"/>
      <c r="E219" s="885" t="e">
        <f t="shared" si="76"/>
        <v>#DIV/0!</v>
      </c>
      <c r="F219" s="885" t="e">
        <f t="shared" si="76"/>
        <v>#DIV/0!</v>
      </c>
      <c r="G219" s="885" t="e">
        <f t="shared" si="76"/>
        <v>#DIV/0!</v>
      </c>
      <c r="H219" s="885" t="e">
        <f t="shared" si="76"/>
        <v>#DIV/0!</v>
      </c>
      <c r="I219" s="885" t="e">
        <f t="shared" si="76"/>
        <v>#DIV/0!</v>
      </c>
      <c r="J219" s="885" t="e">
        <f>J214/J216</f>
        <v>#DIV/0!</v>
      </c>
    </row>
    <row r="220" spans="1:12">
      <c r="A220" s="886">
        <f>A219+1</f>
        <v>146</v>
      </c>
      <c r="B220" s="468" t="str">
        <f>"Average Balance of Common Equity Capital Shares (Ln "&amp;A215&amp;" / Ln "&amp;A216&amp;")"</f>
        <v>Average Balance of Common Equity Capital Shares (Ln 142 / Ln 143)</v>
      </c>
      <c r="C220" s="887" t="e">
        <f t="shared" ref="C220:I220" si="77">C215/C216</f>
        <v>#DIV/0!</v>
      </c>
      <c r="D220" s="887"/>
      <c r="E220" s="887" t="e">
        <f t="shared" si="77"/>
        <v>#DIV/0!</v>
      </c>
      <c r="F220" s="887" t="e">
        <f t="shared" si="77"/>
        <v>#DIV/0!</v>
      </c>
      <c r="G220" s="887" t="e">
        <f t="shared" si="77"/>
        <v>#DIV/0!</v>
      </c>
      <c r="H220" s="887" t="e">
        <f t="shared" si="77"/>
        <v>#DIV/0!</v>
      </c>
      <c r="I220" s="887" t="e">
        <f t="shared" si="77"/>
        <v>#DIV/0!</v>
      </c>
      <c r="J220" s="887" t="e">
        <f>J215/J216</f>
        <v>#DIV/0!</v>
      </c>
    </row>
    <row r="221" spans="1:12">
      <c r="A221" s="886"/>
      <c r="B221" s="468"/>
      <c r="C221" s="887"/>
      <c r="D221" s="887"/>
      <c r="E221" s="887"/>
      <c r="F221" s="887"/>
      <c r="G221" s="887"/>
      <c r="H221" s="887"/>
      <c r="I221" s="887"/>
      <c r="J221" s="887"/>
    </row>
    <row r="222" spans="1:12">
      <c r="A222" s="886">
        <f>A220+1</f>
        <v>147</v>
      </c>
      <c r="B222" s="847" t="s">
        <v>558</v>
      </c>
      <c r="C222" s="887"/>
      <c r="D222" s="887"/>
      <c r="E222" s="887"/>
      <c r="F222" s="887"/>
      <c r="G222" s="887"/>
      <c r="H222" s="887"/>
      <c r="I222" s="887"/>
      <c r="J222" s="887"/>
    </row>
    <row r="223" spans="1:12">
      <c r="A223" s="886"/>
      <c r="B223" s="468"/>
      <c r="C223" s="887"/>
      <c r="D223" s="887"/>
      <c r="E223" s="887"/>
      <c r="F223" s="887"/>
      <c r="G223" s="887"/>
      <c r="H223" s="887"/>
      <c r="I223" s="887"/>
      <c r="J223" s="887"/>
    </row>
    <row r="224" spans="1:12">
      <c r="A224" s="886">
        <f>A222+1</f>
        <v>148</v>
      </c>
      <c r="B224" s="847" t="s">
        <v>558</v>
      </c>
      <c r="C224" s="887"/>
      <c r="D224" s="887"/>
      <c r="E224" s="887"/>
      <c r="F224" s="887"/>
      <c r="G224" s="887"/>
      <c r="H224" s="887"/>
      <c r="I224" s="887"/>
      <c r="J224" s="887"/>
    </row>
    <row r="225" spans="1:10">
      <c r="A225" s="886">
        <f>A224+1</f>
        <v>149</v>
      </c>
      <c r="B225" s="847" t="s">
        <v>558</v>
      </c>
      <c r="C225" s="887"/>
      <c r="D225" s="887"/>
      <c r="E225" s="887"/>
      <c r="F225" s="887"/>
      <c r="G225" s="887"/>
      <c r="H225" s="887"/>
      <c r="I225" s="887"/>
      <c r="J225" s="887"/>
    </row>
    <row r="226" spans="1:10">
      <c r="A226" s="886">
        <f>A225+1</f>
        <v>150</v>
      </c>
      <c r="B226" s="847" t="s">
        <v>558</v>
      </c>
      <c r="C226" s="887"/>
      <c r="D226" s="887"/>
      <c r="E226" s="887"/>
      <c r="F226" s="887"/>
      <c r="G226" s="887"/>
      <c r="H226" s="887"/>
      <c r="I226" s="887"/>
      <c r="J226" s="887"/>
    </row>
    <row r="227" spans="1:10">
      <c r="A227" s="886"/>
      <c r="B227" s="468"/>
      <c r="C227" s="887"/>
      <c r="D227" s="887"/>
      <c r="E227" s="887"/>
      <c r="F227" s="887"/>
      <c r="G227" s="887"/>
      <c r="H227" s="887"/>
      <c r="I227" s="887"/>
      <c r="J227" s="887"/>
    </row>
    <row r="228" spans="1:10" ht="15">
      <c r="A228" s="846" t="s">
        <v>529</v>
      </c>
      <c r="B228" s="886"/>
      <c r="C228" s="886"/>
      <c r="D228" s="886"/>
      <c r="E228" s="886"/>
      <c r="F228" s="886"/>
      <c r="G228" s="886"/>
      <c r="H228" s="886"/>
      <c r="I228" s="886"/>
      <c r="J228" s="886"/>
    </row>
    <row r="229" spans="1:10">
      <c r="A229" s="886">
        <f>A226+1</f>
        <v>151</v>
      </c>
      <c r="B229" s="468" t="str">
        <f>"LTD Capital Cost Rate (Ln "&amp;A199&amp;" / Ln "&amp;A188&amp;")"</f>
        <v>LTD Capital Cost Rate (Ln 132 / Ln 124)</v>
      </c>
      <c r="C229" s="887" t="e">
        <f t="shared" ref="C229:J229" si="78">C199/C188</f>
        <v>#DIV/0!</v>
      </c>
      <c r="D229" s="887"/>
      <c r="E229" s="887" t="e">
        <f t="shared" si="78"/>
        <v>#DIV/0!</v>
      </c>
      <c r="F229" s="887" t="e">
        <f t="shared" si="78"/>
        <v>#DIV/0!</v>
      </c>
      <c r="G229" s="887" t="e">
        <f t="shared" si="78"/>
        <v>#DIV/0!</v>
      </c>
      <c r="H229" s="887" t="e">
        <f t="shared" si="78"/>
        <v>#DIV/0!</v>
      </c>
      <c r="I229" s="887" t="e">
        <f t="shared" si="78"/>
        <v>#DIV/0!</v>
      </c>
      <c r="J229" s="887" t="e">
        <f t="shared" si="78"/>
        <v>#DIV/0!</v>
      </c>
    </row>
    <row r="230" spans="1:10">
      <c r="A230" s="886">
        <f>A229+1</f>
        <v>152</v>
      </c>
      <c r="B230" s="468" t="str">
        <f>"Preferred Stock Capital Cost Rate (Ln "&amp;A203&amp;" / Ln "&amp;A202&amp;")"</f>
        <v>Preferred Stock Capital Cost Rate (Ln 134 / Ln 133)</v>
      </c>
      <c r="C230" s="887">
        <f t="shared" ref="C230:J230" si="79">IF(C202=0,0,C203/C202)</f>
        <v>0</v>
      </c>
      <c r="D230" s="887"/>
      <c r="E230" s="887">
        <f t="shared" si="79"/>
        <v>0</v>
      </c>
      <c r="F230" s="887">
        <f t="shared" si="79"/>
        <v>0</v>
      </c>
      <c r="G230" s="887">
        <f t="shared" si="79"/>
        <v>0</v>
      </c>
      <c r="H230" s="887">
        <f t="shared" si="79"/>
        <v>0</v>
      </c>
      <c r="I230" s="887">
        <f t="shared" si="79"/>
        <v>0</v>
      </c>
      <c r="J230" s="887">
        <f t="shared" si="79"/>
        <v>0</v>
      </c>
    </row>
    <row r="231" spans="1:10">
      <c r="A231" s="886">
        <f>A230+1</f>
        <v>153</v>
      </c>
      <c r="B231" s="468" t="s">
        <v>530</v>
      </c>
      <c r="C231" s="887">
        <v>0.1149</v>
      </c>
      <c r="D231" s="887"/>
      <c r="E231" s="887">
        <v>0.1149</v>
      </c>
      <c r="F231" s="887">
        <v>0.1149</v>
      </c>
      <c r="G231" s="887">
        <v>0.1149</v>
      </c>
      <c r="H231" s="887">
        <v>0.1149</v>
      </c>
      <c r="I231" s="887">
        <v>0.1149</v>
      </c>
      <c r="J231" s="887">
        <v>0.1149</v>
      </c>
    </row>
    <row r="232" spans="1:10">
      <c r="A232" s="886"/>
      <c r="B232" s="886"/>
      <c r="C232" s="886"/>
      <c r="D232" s="886"/>
      <c r="E232" s="886"/>
      <c r="F232" s="886"/>
      <c r="G232" s="886"/>
      <c r="H232" s="886"/>
      <c r="I232" s="886"/>
      <c r="J232" s="886"/>
    </row>
    <row r="233" spans="1:10" ht="15">
      <c r="A233" s="846" t="s">
        <v>531</v>
      </c>
      <c r="B233" s="886"/>
      <c r="C233" s="886"/>
      <c r="D233" s="886"/>
      <c r="E233" s="886"/>
      <c r="F233" s="886"/>
      <c r="G233" s="886"/>
      <c r="H233" s="886"/>
      <c r="I233" s="886"/>
      <c r="J233" s="886"/>
    </row>
    <row r="234" spans="1:10">
      <c r="A234" s="886">
        <f>A231+1</f>
        <v>154</v>
      </c>
      <c r="B234" s="468" t="str">
        <f>"LTD Weighted Capital Cost Rate (Ln "&amp;A218&amp;" * Ln "&amp;A229&amp;")"</f>
        <v>LTD Weighted Capital Cost Rate (Ln 144 * Ln 151)</v>
      </c>
      <c r="C234" s="887" t="e">
        <f>C218*C229</f>
        <v>#DIV/0!</v>
      </c>
      <c r="D234" s="887"/>
      <c r="E234" s="887" t="e">
        <f t="shared" ref="E234:J234" si="80">E218*E229</f>
        <v>#DIV/0!</v>
      </c>
      <c r="F234" s="887" t="e">
        <f t="shared" si="80"/>
        <v>#DIV/0!</v>
      </c>
      <c r="G234" s="887" t="e">
        <f t="shared" si="80"/>
        <v>#DIV/0!</v>
      </c>
      <c r="H234" s="887" t="e">
        <f t="shared" si="80"/>
        <v>#DIV/0!</v>
      </c>
      <c r="I234" s="887" t="e">
        <f t="shared" si="80"/>
        <v>#DIV/0!</v>
      </c>
      <c r="J234" s="887" t="e">
        <f t="shared" si="80"/>
        <v>#DIV/0!</v>
      </c>
    </row>
    <row r="235" spans="1:10">
      <c r="A235" s="886">
        <f>A234+1</f>
        <v>155</v>
      </c>
      <c r="B235" s="468" t="str">
        <f>"Preferred Stock Capital Cost Rate (Ln "&amp;A219&amp;" * Ln "&amp;A230&amp;")"</f>
        <v>Preferred Stock Capital Cost Rate (Ln 145 * Ln 152)</v>
      </c>
      <c r="C235" s="887" t="e">
        <f>C219*C230</f>
        <v>#DIV/0!</v>
      </c>
      <c r="D235" s="887"/>
      <c r="E235" s="887" t="e">
        <f t="shared" ref="E235:J235" si="81">E219*E230</f>
        <v>#DIV/0!</v>
      </c>
      <c r="F235" s="887" t="e">
        <f t="shared" si="81"/>
        <v>#DIV/0!</v>
      </c>
      <c r="G235" s="887" t="e">
        <f t="shared" si="81"/>
        <v>#DIV/0!</v>
      </c>
      <c r="H235" s="887" t="e">
        <f t="shared" si="81"/>
        <v>#DIV/0!</v>
      </c>
      <c r="I235" s="887" t="e">
        <f t="shared" si="81"/>
        <v>#DIV/0!</v>
      </c>
      <c r="J235" s="887" t="e">
        <f t="shared" si="81"/>
        <v>#DIV/0!</v>
      </c>
    </row>
    <row r="236" spans="1:10">
      <c r="A236" s="886">
        <f>A235+1</f>
        <v>156</v>
      </c>
      <c r="B236" s="468" t="str">
        <f>"Common Equity Capital Cost Rate (Ln "&amp;A220&amp;" * Ln "&amp;A231&amp;")"</f>
        <v>Common Equity Capital Cost Rate (Ln 146 * Ln 153)</v>
      </c>
      <c r="C236" s="899" t="e">
        <f>C220*C231</f>
        <v>#DIV/0!</v>
      </c>
      <c r="D236" s="899"/>
      <c r="E236" s="899" t="e">
        <f t="shared" ref="E236:J236" si="82">E220*E231</f>
        <v>#DIV/0!</v>
      </c>
      <c r="F236" s="899" t="e">
        <f t="shared" si="82"/>
        <v>#DIV/0!</v>
      </c>
      <c r="G236" s="899" t="e">
        <f t="shared" si="82"/>
        <v>#DIV/0!</v>
      </c>
      <c r="H236" s="899" t="e">
        <f t="shared" si="82"/>
        <v>#DIV/0!</v>
      </c>
      <c r="I236" s="899" t="e">
        <f t="shared" si="82"/>
        <v>#DIV/0!</v>
      </c>
      <c r="J236" s="899" t="e">
        <f t="shared" si="82"/>
        <v>#DIV/0!</v>
      </c>
    </row>
    <row r="237" spans="1:10">
      <c r="A237" s="886">
        <f>A236+1</f>
        <v>157</v>
      </c>
      <c r="B237" s="895" t="s">
        <v>61</v>
      </c>
      <c r="C237" s="900" t="e">
        <f t="shared" ref="C237:J237" si="83">SUM(C234:C236)</f>
        <v>#DIV/0!</v>
      </c>
      <c r="D237" s="900"/>
      <c r="E237" s="900" t="e">
        <f t="shared" si="83"/>
        <v>#DIV/0!</v>
      </c>
      <c r="F237" s="900" t="e">
        <f t="shared" si="83"/>
        <v>#DIV/0!</v>
      </c>
      <c r="G237" s="900" t="e">
        <f t="shared" si="83"/>
        <v>#DIV/0!</v>
      </c>
      <c r="H237" s="900" t="e">
        <f t="shared" si="83"/>
        <v>#DIV/0!</v>
      </c>
      <c r="I237" s="900" t="e">
        <f t="shared" si="83"/>
        <v>#DIV/0!</v>
      </c>
      <c r="J237" s="900" t="e">
        <f t="shared" si="83"/>
        <v>#DIV/0!</v>
      </c>
    </row>
    <row r="238" spans="1:10">
      <c r="A238" s="886"/>
      <c r="B238" s="893"/>
      <c r="C238" s="886"/>
      <c r="D238" s="886"/>
      <c r="E238" s="886"/>
      <c r="F238" s="886"/>
      <c r="G238" s="886"/>
      <c r="H238" s="886"/>
      <c r="I238" s="886"/>
      <c r="J238" s="886"/>
    </row>
    <row r="239" spans="1:10">
      <c r="A239" s="886"/>
      <c r="B239" s="886"/>
      <c r="C239" s="886"/>
      <c r="D239" s="886"/>
      <c r="E239" s="886"/>
      <c r="F239" s="886"/>
      <c r="G239" s="886"/>
      <c r="H239" s="886"/>
      <c r="I239" s="886"/>
      <c r="J239" s="886"/>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7"/>
  <sheetViews>
    <sheetView view="pageBreakPreview" zoomScale="60" zoomScaleNormal="100" workbookViewId="0">
      <selection activeCell="G16" sqref="G16"/>
    </sheetView>
  </sheetViews>
  <sheetFormatPr defaultColWidth="8.85546875" defaultRowHeight="12.75"/>
  <cols>
    <col min="1" max="1" width="8.85546875" style="172"/>
    <col min="2" max="2" width="23" style="172" customWidth="1"/>
    <col min="3" max="3" width="10.5703125" style="172" customWidth="1"/>
    <col min="4" max="4" width="8.85546875" style="172"/>
    <col min="5" max="5" width="22"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81" t="s">
        <v>831</v>
      </c>
      <c r="C1" s="1581"/>
      <c r="D1" s="1581"/>
      <c r="E1" s="1581"/>
      <c r="F1" s="1581"/>
      <c r="G1" s="1581"/>
      <c r="H1" s="1581"/>
      <c r="I1" s="1581"/>
      <c r="J1" s="1581"/>
      <c r="K1" s="1581"/>
      <c r="L1" s="1581"/>
    </row>
    <row r="2" spans="2:12" ht="15.75">
      <c r="B2" s="1580" t="s">
        <v>557</v>
      </c>
      <c r="C2" s="1580"/>
      <c r="D2" s="1580"/>
      <c r="E2" s="1580"/>
      <c r="F2" s="1580"/>
      <c r="G2" s="1580"/>
      <c r="H2" s="1580"/>
      <c r="I2" s="1580"/>
      <c r="J2" s="1580"/>
      <c r="K2" s="1580"/>
      <c r="L2" s="1580"/>
    </row>
    <row r="3" spans="2:12" ht="15.75">
      <c r="B3" s="1580" t="s">
        <v>587</v>
      </c>
      <c r="C3" s="1580"/>
      <c r="D3" s="1580"/>
      <c r="E3" s="1580"/>
      <c r="F3" s="1580"/>
      <c r="G3" s="1580"/>
      <c r="H3" s="1580"/>
      <c r="I3" s="1580"/>
      <c r="J3" s="1580"/>
      <c r="K3" s="1580"/>
      <c r="L3" s="1580"/>
    </row>
    <row r="4" spans="2:12" ht="15.75">
      <c r="B4" s="393"/>
      <c r="C4" s="393"/>
      <c r="D4" s="393"/>
      <c r="E4" s="1580"/>
      <c r="F4" s="1580"/>
      <c r="G4" s="1580"/>
      <c r="H4" s="1580"/>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06"/>
      <c r="C7" s="907"/>
      <c r="D7" s="907"/>
      <c r="E7" s="907"/>
      <c r="F7" s="907"/>
      <c r="G7" s="907"/>
      <c r="H7" s="907"/>
      <c r="I7" s="907"/>
      <c r="J7" s="907"/>
      <c r="K7" s="907"/>
      <c r="L7" s="907"/>
    </row>
    <row r="8" spans="2:12" ht="63">
      <c r="B8" s="908" t="str">
        <f>"Reconciliation Revenue Requirement For Year 2018 Available May 25, 2019"</f>
        <v>Reconciliation Revenue Requirement For Year 2018 Available May 25, 2019</v>
      </c>
      <c r="C8" s="907"/>
      <c r="D8" s="907"/>
      <c r="E8" s="908" t="s">
        <v>974</v>
      </c>
      <c r="F8" s="907"/>
      <c r="G8" s="907"/>
      <c r="H8" s="393"/>
      <c r="I8" s="908" t="s">
        <v>559</v>
      </c>
      <c r="J8" s="393"/>
      <c r="K8" s="393"/>
      <c r="L8" s="393"/>
    </row>
    <row r="9" spans="2:12" ht="15.75">
      <c r="B9" s="909" t="s">
        <v>408</v>
      </c>
      <c r="C9" s="907"/>
      <c r="D9" s="907"/>
      <c r="E9" s="909"/>
      <c r="F9" s="907"/>
      <c r="G9" s="907"/>
      <c r="H9" s="393"/>
      <c r="I9" s="910"/>
      <c r="J9" s="393"/>
      <c r="K9" s="393"/>
      <c r="L9" s="393"/>
    </row>
    <row r="10" spans="2:12" ht="16.5" thickBot="1">
      <c r="B10" s="905">
        <v>0</v>
      </c>
      <c r="C10" s="911" t="str">
        <f>"-"</f>
        <v>-</v>
      </c>
      <c r="D10" s="912"/>
      <c r="E10" s="905">
        <v>0</v>
      </c>
      <c r="F10" s="913"/>
      <c r="G10" s="914" t="str">
        <f>"="</f>
        <v>=</v>
      </c>
      <c r="H10" s="915"/>
      <c r="I10" s="916">
        <f>IF(B10=0,0,E10-B10)</f>
        <v>0</v>
      </c>
      <c r="J10" s="393"/>
      <c r="K10" s="393"/>
      <c r="L10" s="393"/>
    </row>
    <row r="11" spans="2:12" ht="15.75">
      <c r="B11" s="917"/>
      <c r="C11" s="918"/>
      <c r="D11" s="918"/>
      <c r="E11" s="917"/>
      <c r="F11" s="917"/>
      <c r="G11" s="918"/>
      <c r="H11" s="917"/>
      <c r="I11" s="393"/>
      <c r="J11" s="393"/>
      <c r="K11" s="393"/>
      <c r="L11" s="393"/>
    </row>
    <row r="12" spans="2:12" ht="16.5" thickBot="1">
      <c r="B12" s="919"/>
      <c r="C12" s="920"/>
      <c r="D12" s="920"/>
      <c r="E12" s="919"/>
      <c r="F12" s="919"/>
      <c r="G12" s="920"/>
      <c r="H12" s="919"/>
      <c r="I12" s="921"/>
      <c r="J12" s="921"/>
      <c r="K12" s="921"/>
      <c r="L12" s="921"/>
    </row>
    <row r="13" spans="2:12" ht="15.75">
      <c r="B13" s="922"/>
      <c r="C13" s="918"/>
      <c r="D13" s="918"/>
      <c r="E13" s="917"/>
      <c r="F13" s="917"/>
      <c r="G13" s="918"/>
      <c r="H13" s="917"/>
      <c r="I13" s="393"/>
      <c r="J13" s="393"/>
      <c r="K13" s="393"/>
      <c r="L13" s="393"/>
    </row>
    <row r="14" spans="2:12" ht="47.25">
      <c r="B14" s="923" t="s">
        <v>617</v>
      </c>
      <c r="C14" s="918"/>
      <c r="D14" s="918"/>
      <c r="E14" s="924" t="s">
        <v>560</v>
      </c>
      <c r="F14" s="917"/>
      <c r="G14" s="924" t="s">
        <v>561</v>
      </c>
      <c r="H14" s="925" t="s">
        <v>562</v>
      </c>
      <c r="I14" s="926" t="s">
        <v>563</v>
      </c>
      <c r="J14" s="924" t="s">
        <v>564</v>
      </c>
      <c r="K14" s="927"/>
      <c r="L14" s="924" t="s">
        <v>565</v>
      </c>
    </row>
    <row r="15" spans="2:12" ht="15.75">
      <c r="B15" s="923" t="s">
        <v>618</v>
      </c>
      <c r="C15" s="918"/>
      <c r="D15" s="918"/>
      <c r="E15" s="393"/>
      <c r="F15" s="928"/>
      <c r="G15" s="941">
        <v>4.0949999999999997E-3</v>
      </c>
      <c r="I15" s="393"/>
      <c r="J15" s="393"/>
      <c r="K15" s="393"/>
      <c r="L15" s="393"/>
    </row>
    <row r="16" spans="2:12" ht="15.75">
      <c r="B16" s="923"/>
      <c r="C16" s="918"/>
      <c r="D16" s="918"/>
      <c r="E16" s="393"/>
      <c r="F16" s="928"/>
      <c r="G16" s="928"/>
      <c r="H16" s="917"/>
      <c r="I16" s="393"/>
      <c r="J16" s="393"/>
      <c r="K16" s="393"/>
      <c r="L16" s="393"/>
    </row>
    <row r="17" spans="2:12" ht="15.75">
      <c r="B17" s="923" t="s">
        <v>975</v>
      </c>
      <c r="C17" s="918"/>
      <c r="D17" s="918"/>
      <c r="E17" s="393"/>
      <c r="F17" s="928"/>
      <c r="G17" s="928"/>
      <c r="H17" s="917"/>
      <c r="I17" s="393"/>
      <c r="J17" s="393"/>
      <c r="K17" s="393"/>
      <c r="L17" s="393"/>
    </row>
    <row r="18" spans="2:12" ht="15.75">
      <c r="B18" s="929" t="s">
        <v>408</v>
      </c>
      <c r="C18" s="918"/>
      <c r="D18" s="918"/>
      <c r="E18" s="918"/>
      <c r="F18" s="918"/>
      <c r="G18" s="918" t="s">
        <v>408</v>
      </c>
      <c r="H18" s="393"/>
      <c r="I18" s="393"/>
      <c r="J18" s="393"/>
      <c r="K18" s="393"/>
      <c r="L18" s="393"/>
    </row>
    <row r="19" spans="2:12" ht="15.75">
      <c r="B19" s="930"/>
      <c r="C19" s="918"/>
      <c r="D19" s="918"/>
      <c r="E19" s="918"/>
      <c r="F19" s="918"/>
      <c r="G19" s="393"/>
      <c r="H19" s="393"/>
      <c r="I19" s="925"/>
      <c r="J19" s="918"/>
      <c r="K19" s="918"/>
      <c r="L19" s="918"/>
    </row>
    <row r="20" spans="2:12" ht="15.75">
      <c r="B20" s="930" t="s">
        <v>566</v>
      </c>
      <c r="C20" s="918"/>
      <c r="D20" s="918"/>
      <c r="E20" s="918"/>
      <c r="F20" s="918"/>
      <c r="G20" s="393"/>
      <c r="H20" s="393"/>
      <c r="I20" s="925" t="s">
        <v>567</v>
      </c>
      <c r="J20" s="918"/>
      <c r="K20" s="918"/>
      <c r="L20" s="918"/>
    </row>
    <row r="21" spans="2:12" ht="15.75">
      <c r="B21" s="907" t="s">
        <v>568</v>
      </c>
      <c r="C21" s="907" t="str">
        <f>"Year 2018"</f>
        <v>Year 2018</v>
      </c>
      <c r="D21" s="907"/>
      <c r="E21" s="931">
        <f>I10/12</f>
        <v>0</v>
      </c>
      <c r="F21" s="931"/>
      <c r="G21" s="932">
        <f>+G15</f>
        <v>4.0949999999999997E-3</v>
      </c>
      <c r="H21" s="1315">
        <v>12</v>
      </c>
      <c r="I21" s="931">
        <f>G21*E21*H21*-1</f>
        <v>0</v>
      </c>
      <c r="J21" s="931"/>
      <c r="K21" s="931"/>
      <c r="L21" s="931">
        <f>(-I21+E21)*-1</f>
        <v>0</v>
      </c>
    </row>
    <row r="22" spans="2:12" ht="15.75">
      <c r="B22" s="907" t="s">
        <v>569</v>
      </c>
      <c r="C22" s="907" t="str">
        <f>C21</f>
        <v>Year 2018</v>
      </c>
      <c r="D22" s="907"/>
      <c r="E22" s="931">
        <f>+E21</f>
        <v>0</v>
      </c>
      <c r="F22" s="931"/>
      <c r="G22" s="932">
        <f>+G21</f>
        <v>4.0949999999999997E-3</v>
      </c>
      <c r="H22" s="1315">
        <f t="shared" ref="H22:H32" si="0">+H21-1</f>
        <v>11</v>
      </c>
      <c r="I22" s="931">
        <f t="shared" ref="I22:I32" si="1">G22*E22*H22*-1</f>
        <v>0</v>
      </c>
      <c r="J22" s="931"/>
      <c r="K22" s="931"/>
      <c r="L22" s="931">
        <f t="shared" ref="L22:L32" si="2">(-I22+E22)*-1</f>
        <v>0</v>
      </c>
    </row>
    <row r="23" spans="2:12" ht="15.75">
      <c r="B23" s="907" t="s">
        <v>570</v>
      </c>
      <c r="C23" s="907" t="str">
        <f t="shared" ref="C23:C32" si="3">C22</f>
        <v>Year 2018</v>
      </c>
      <c r="D23" s="907"/>
      <c r="E23" s="931">
        <f t="shared" ref="E23:E32" si="4">+E22</f>
        <v>0</v>
      </c>
      <c r="F23" s="931"/>
      <c r="G23" s="932">
        <f t="shared" ref="G23:G32" si="5">+G22</f>
        <v>4.0949999999999997E-3</v>
      </c>
      <c r="H23" s="1315">
        <f t="shared" si="0"/>
        <v>10</v>
      </c>
      <c r="I23" s="931">
        <f t="shared" si="1"/>
        <v>0</v>
      </c>
      <c r="J23" s="931"/>
      <c r="K23" s="931"/>
      <c r="L23" s="931">
        <f t="shared" si="2"/>
        <v>0</v>
      </c>
    </row>
    <row r="24" spans="2:12" ht="15.75">
      <c r="B24" s="907" t="s">
        <v>571</v>
      </c>
      <c r="C24" s="907" t="str">
        <f t="shared" si="3"/>
        <v>Year 2018</v>
      </c>
      <c r="D24" s="907"/>
      <c r="E24" s="931">
        <f t="shared" si="4"/>
        <v>0</v>
      </c>
      <c r="F24" s="931"/>
      <c r="G24" s="932">
        <f t="shared" si="5"/>
        <v>4.0949999999999997E-3</v>
      </c>
      <c r="H24" s="1315">
        <f t="shared" si="0"/>
        <v>9</v>
      </c>
      <c r="I24" s="931">
        <f t="shared" si="1"/>
        <v>0</v>
      </c>
      <c r="J24" s="931"/>
      <c r="K24" s="931"/>
      <c r="L24" s="931">
        <f t="shared" si="2"/>
        <v>0</v>
      </c>
    </row>
    <row r="25" spans="2:12" ht="15.75">
      <c r="B25" s="907" t="s">
        <v>572</v>
      </c>
      <c r="C25" s="907" t="str">
        <f t="shared" si="3"/>
        <v>Year 2018</v>
      </c>
      <c r="D25" s="907"/>
      <c r="E25" s="931">
        <f t="shared" si="4"/>
        <v>0</v>
      </c>
      <c r="F25" s="931"/>
      <c r="G25" s="932">
        <f t="shared" si="5"/>
        <v>4.0949999999999997E-3</v>
      </c>
      <c r="H25" s="1315">
        <f t="shared" si="0"/>
        <v>8</v>
      </c>
      <c r="I25" s="931">
        <f t="shared" si="1"/>
        <v>0</v>
      </c>
      <c r="J25" s="931"/>
      <c r="K25" s="931"/>
      <c r="L25" s="931">
        <f t="shared" si="2"/>
        <v>0</v>
      </c>
    </row>
    <row r="26" spans="2:12" ht="15.75">
      <c r="B26" s="907" t="s">
        <v>573</v>
      </c>
      <c r="C26" s="907" t="str">
        <f t="shared" si="3"/>
        <v>Year 2018</v>
      </c>
      <c r="D26" s="907"/>
      <c r="E26" s="931">
        <f t="shared" si="4"/>
        <v>0</v>
      </c>
      <c r="F26" s="931"/>
      <c r="G26" s="932">
        <f t="shared" si="5"/>
        <v>4.0949999999999997E-3</v>
      </c>
      <c r="H26" s="1315">
        <f t="shared" si="0"/>
        <v>7</v>
      </c>
      <c r="I26" s="931">
        <f t="shared" si="1"/>
        <v>0</v>
      </c>
      <c r="J26" s="931"/>
      <c r="K26" s="931"/>
      <c r="L26" s="931">
        <f t="shared" si="2"/>
        <v>0</v>
      </c>
    </row>
    <row r="27" spans="2:12" ht="15.75">
      <c r="B27" s="907" t="s">
        <v>574</v>
      </c>
      <c r="C27" s="907" t="str">
        <f t="shared" si="3"/>
        <v>Year 2018</v>
      </c>
      <c r="D27" s="907"/>
      <c r="E27" s="931">
        <f t="shared" si="4"/>
        <v>0</v>
      </c>
      <c r="F27" s="931"/>
      <c r="G27" s="932">
        <f t="shared" si="5"/>
        <v>4.0949999999999997E-3</v>
      </c>
      <c r="H27" s="1315">
        <f t="shared" si="0"/>
        <v>6</v>
      </c>
      <c r="I27" s="931">
        <f t="shared" si="1"/>
        <v>0</v>
      </c>
      <c r="J27" s="931"/>
      <c r="K27" s="931"/>
      <c r="L27" s="931">
        <f t="shared" si="2"/>
        <v>0</v>
      </c>
    </row>
    <row r="28" spans="2:12" ht="15.75">
      <c r="B28" s="907" t="s">
        <v>575</v>
      </c>
      <c r="C28" s="907" t="str">
        <f t="shared" si="3"/>
        <v>Year 2018</v>
      </c>
      <c r="D28" s="907"/>
      <c r="E28" s="931">
        <f t="shared" si="4"/>
        <v>0</v>
      </c>
      <c r="F28" s="931"/>
      <c r="G28" s="932">
        <f t="shared" si="5"/>
        <v>4.0949999999999997E-3</v>
      </c>
      <c r="H28" s="1315">
        <f t="shared" si="0"/>
        <v>5</v>
      </c>
      <c r="I28" s="931">
        <f t="shared" si="1"/>
        <v>0</v>
      </c>
      <c r="J28" s="931"/>
      <c r="K28" s="931"/>
      <c r="L28" s="931">
        <f t="shared" si="2"/>
        <v>0</v>
      </c>
    </row>
    <row r="29" spans="2:12" ht="15.75">
      <c r="B29" s="907" t="s">
        <v>576</v>
      </c>
      <c r="C29" s="907" t="str">
        <f t="shared" si="3"/>
        <v>Year 2018</v>
      </c>
      <c r="D29" s="907"/>
      <c r="E29" s="931">
        <f t="shared" si="4"/>
        <v>0</v>
      </c>
      <c r="F29" s="931"/>
      <c r="G29" s="932">
        <f t="shared" si="5"/>
        <v>4.0949999999999997E-3</v>
      </c>
      <c r="H29" s="1315">
        <f t="shared" si="0"/>
        <v>4</v>
      </c>
      <c r="I29" s="931">
        <f t="shared" si="1"/>
        <v>0</v>
      </c>
      <c r="J29" s="931"/>
      <c r="K29" s="931"/>
      <c r="L29" s="931">
        <f t="shared" si="2"/>
        <v>0</v>
      </c>
    </row>
    <row r="30" spans="2:12" ht="15.75">
      <c r="B30" s="907" t="s">
        <v>577</v>
      </c>
      <c r="C30" s="907" t="str">
        <f t="shared" si="3"/>
        <v>Year 2018</v>
      </c>
      <c r="D30" s="907"/>
      <c r="E30" s="931">
        <f t="shared" si="4"/>
        <v>0</v>
      </c>
      <c r="F30" s="931"/>
      <c r="G30" s="932">
        <f t="shared" si="5"/>
        <v>4.0949999999999997E-3</v>
      </c>
      <c r="H30" s="1315">
        <f t="shared" si="0"/>
        <v>3</v>
      </c>
      <c r="I30" s="931">
        <f t="shared" si="1"/>
        <v>0</v>
      </c>
      <c r="J30" s="931"/>
      <c r="K30" s="931"/>
      <c r="L30" s="931">
        <f t="shared" si="2"/>
        <v>0</v>
      </c>
    </row>
    <row r="31" spans="2:12" ht="15.75">
      <c r="B31" s="907" t="s">
        <v>578</v>
      </c>
      <c r="C31" s="907" t="str">
        <f t="shared" si="3"/>
        <v>Year 2018</v>
      </c>
      <c r="D31" s="907"/>
      <c r="E31" s="931">
        <f t="shared" si="4"/>
        <v>0</v>
      </c>
      <c r="F31" s="931"/>
      <c r="G31" s="932">
        <f t="shared" si="5"/>
        <v>4.0949999999999997E-3</v>
      </c>
      <c r="H31" s="1315">
        <f t="shared" si="0"/>
        <v>2</v>
      </c>
      <c r="I31" s="931">
        <f t="shared" si="1"/>
        <v>0</v>
      </c>
      <c r="J31" s="931"/>
      <c r="K31" s="931"/>
      <c r="L31" s="931">
        <f t="shared" si="2"/>
        <v>0</v>
      </c>
    </row>
    <row r="32" spans="2:12" ht="15.75">
      <c r="B32" s="907" t="s">
        <v>579</v>
      </c>
      <c r="C32" s="907" t="str">
        <f t="shared" si="3"/>
        <v>Year 2018</v>
      </c>
      <c r="D32" s="907"/>
      <c r="E32" s="931">
        <f t="shared" si="4"/>
        <v>0</v>
      </c>
      <c r="F32" s="931"/>
      <c r="G32" s="932">
        <f t="shared" si="5"/>
        <v>4.0949999999999997E-3</v>
      </c>
      <c r="H32" s="1315">
        <f t="shared" si="0"/>
        <v>1</v>
      </c>
      <c r="I32" s="933">
        <f t="shared" si="1"/>
        <v>0</v>
      </c>
      <c r="J32" s="931"/>
      <c r="K32" s="931"/>
      <c r="L32" s="931">
        <f t="shared" si="2"/>
        <v>0</v>
      </c>
    </row>
    <row r="33" spans="2:12" ht="15.75">
      <c r="B33" s="907"/>
      <c r="C33" s="907"/>
      <c r="D33" s="907"/>
      <c r="E33" s="931"/>
      <c r="F33" s="931"/>
      <c r="G33" s="932"/>
      <c r="H33" s="918"/>
      <c r="I33" s="931">
        <f>SUM(I21:I32)</f>
        <v>0</v>
      </c>
      <c r="J33" s="931"/>
      <c r="K33" s="931"/>
      <c r="L33" s="934">
        <f>SUM(L21:L32)</f>
        <v>0</v>
      </c>
    </row>
    <row r="34" spans="2:12" ht="15.75">
      <c r="B34" s="907"/>
      <c r="C34" s="907"/>
      <c r="D34" s="907"/>
      <c r="E34" s="931"/>
      <c r="F34" s="931"/>
      <c r="G34" s="932"/>
      <c r="H34" s="918"/>
      <c r="I34" s="931"/>
      <c r="J34" s="931" t="s">
        <v>408</v>
      </c>
      <c r="K34" s="931"/>
      <c r="L34" s="393"/>
    </row>
    <row r="35" spans="2:12" ht="15.75">
      <c r="B35" s="907"/>
      <c r="C35" s="907"/>
      <c r="D35" s="907"/>
      <c r="E35" s="917"/>
      <c r="F35" s="917"/>
      <c r="G35" s="932"/>
      <c r="H35" s="918"/>
      <c r="I35" s="935" t="s">
        <v>580</v>
      </c>
      <c r="J35" s="931"/>
      <c r="K35" s="931"/>
      <c r="L35" s="931"/>
    </row>
    <row r="36" spans="2:12" ht="15.75">
      <c r="B36" s="907" t="s">
        <v>581</v>
      </c>
      <c r="C36" s="907" t="str">
        <f>"Year 2019"</f>
        <v>Year 2019</v>
      </c>
      <c r="D36" s="907"/>
      <c r="E36" s="917">
        <f>L33</f>
        <v>0</v>
      </c>
      <c r="F36" s="917"/>
      <c r="G36" s="932">
        <f>+G32</f>
        <v>4.0949999999999997E-3</v>
      </c>
      <c r="H36" s="1315">
        <v>12</v>
      </c>
      <c r="I36" s="931">
        <f>+H36*G36*E36</f>
        <v>0</v>
      </c>
      <c r="J36" s="931"/>
      <c r="K36" s="931"/>
      <c r="L36" s="934">
        <f>+E36+I36</f>
        <v>0</v>
      </c>
    </row>
    <row r="37" spans="2:12" ht="15.75">
      <c r="B37" s="907"/>
      <c r="C37" s="907"/>
      <c r="D37" s="907"/>
      <c r="E37" s="917"/>
      <c r="F37" s="917"/>
      <c r="G37" s="932"/>
      <c r="H37" s="918"/>
      <c r="I37" s="931"/>
      <c r="J37" s="931"/>
      <c r="K37" s="931"/>
      <c r="L37" s="931"/>
    </row>
    <row r="38" spans="2:12" ht="15.75">
      <c r="B38" s="936" t="s">
        <v>582</v>
      </c>
      <c r="C38" s="907"/>
      <c r="D38" s="907"/>
      <c r="E38" s="931"/>
      <c r="F38" s="931"/>
      <c r="G38" s="932"/>
      <c r="H38" s="918"/>
      <c r="I38" s="935" t="s">
        <v>567</v>
      </c>
      <c r="J38" s="931"/>
      <c r="K38" s="931"/>
      <c r="L38" s="931"/>
    </row>
    <row r="39" spans="2:12" ht="15.75">
      <c r="B39" s="907" t="s">
        <v>568</v>
      </c>
      <c r="C39" s="907" t="str">
        <f>"Year 2020"</f>
        <v>Year 2020</v>
      </c>
      <c r="D39" s="907"/>
      <c r="E39" s="937">
        <f>-L36</f>
        <v>0</v>
      </c>
      <c r="F39" s="917"/>
      <c r="G39" s="932">
        <f>+G32</f>
        <v>4.0949999999999997E-3</v>
      </c>
      <c r="H39" s="918"/>
      <c r="I39" s="931">
        <f xml:space="preserve"> -G39*E39</f>
        <v>0</v>
      </c>
      <c r="J39" s="931">
        <f>PMT(G39,12,L$36)</f>
        <v>0</v>
      </c>
      <c r="K39" s="931"/>
      <c r="L39" s="931">
        <f>(+E39+E39*G39-J39)*-1</f>
        <v>0</v>
      </c>
    </row>
    <row r="40" spans="2:12" ht="15.75">
      <c r="B40" s="907" t="s">
        <v>569</v>
      </c>
      <c r="C40" s="907" t="str">
        <f>+C39</f>
        <v>Year 2020</v>
      </c>
      <c r="D40" s="907"/>
      <c r="E40" s="917">
        <f>-L39</f>
        <v>0</v>
      </c>
      <c r="F40" s="917"/>
      <c r="G40" s="932">
        <f>+G39</f>
        <v>4.0949999999999997E-3</v>
      </c>
      <c r="H40" s="918"/>
      <c r="I40" s="931">
        <f xml:space="preserve"> -G40*E40</f>
        <v>0</v>
      </c>
      <c r="J40" s="931">
        <f>J39</f>
        <v>0</v>
      </c>
      <c r="K40" s="931"/>
      <c r="L40" s="931">
        <f t="shared" ref="L40:L50" si="6">(+E40+E40*G40-J40)*-1</f>
        <v>0</v>
      </c>
    </row>
    <row r="41" spans="2:12" ht="15.75">
      <c r="B41" s="907" t="s">
        <v>570</v>
      </c>
      <c r="C41" s="907" t="str">
        <f>+C40</f>
        <v>Year 2020</v>
      </c>
      <c r="D41" s="907"/>
      <c r="E41" s="917">
        <f t="shared" ref="E41:E50" si="7">-L40</f>
        <v>0</v>
      </c>
      <c r="F41" s="917"/>
      <c r="G41" s="932">
        <f t="shared" ref="G41:G50" si="8">+G40</f>
        <v>4.0949999999999997E-3</v>
      </c>
      <c r="H41" s="918"/>
      <c r="I41" s="931">
        <f t="shared" ref="I41:I50" si="9" xml:space="preserve"> -G41*E41</f>
        <v>0</v>
      </c>
      <c r="J41" s="931">
        <f t="shared" ref="J41:J50" si="10">J40</f>
        <v>0</v>
      </c>
      <c r="K41" s="931"/>
      <c r="L41" s="931">
        <f t="shared" si="6"/>
        <v>0</v>
      </c>
    </row>
    <row r="42" spans="2:12" ht="15.75">
      <c r="B42" s="907" t="s">
        <v>571</v>
      </c>
      <c r="C42" s="907" t="str">
        <f>+C41</f>
        <v>Year 2020</v>
      </c>
      <c r="D42" s="907"/>
      <c r="E42" s="917">
        <f t="shared" si="7"/>
        <v>0</v>
      </c>
      <c r="F42" s="917"/>
      <c r="G42" s="932">
        <f t="shared" si="8"/>
        <v>4.0949999999999997E-3</v>
      </c>
      <c r="H42" s="918"/>
      <c r="I42" s="931">
        <f t="shared" si="9"/>
        <v>0</v>
      </c>
      <c r="J42" s="931">
        <f t="shared" si="10"/>
        <v>0</v>
      </c>
      <c r="K42" s="931"/>
      <c r="L42" s="931">
        <f t="shared" si="6"/>
        <v>0</v>
      </c>
    </row>
    <row r="43" spans="2:12" ht="15.75">
      <c r="B43" s="907" t="s">
        <v>572</v>
      </c>
      <c r="C43" s="907" t="str">
        <f>+C42</f>
        <v>Year 2020</v>
      </c>
      <c r="D43" s="907"/>
      <c r="E43" s="917">
        <f t="shared" si="7"/>
        <v>0</v>
      </c>
      <c r="F43" s="917"/>
      <c r="G43" s="932">
        <f t="shared" si="8"/>
        <v>4.0949999999999997E-3</v>
      </c>
      <c r="H43" s="918"/>
      <c r="I43" s="931">
        <f t="shared" si="9"/>
        <v>0</v>
      </c>
      <c r="J43" s="931">
        <f>J42</f>
        <v>0</v>
      </c>
      <c r="K43" s="931"/>
      <c r="L43" s="931">
        <f t="shared" si="6"/>
        <v>0</v>
      </c>
    </row>
    <row r="44" spans="2:12" ht="15.75">
      <c r="B44" s="907" t="s">
        <v>573</v>
      </c>
      <c r="C44" s="907" t="str">
        <f>C43</f>
        <v>Year 2020</v>
      </c>
      <c r="D44" s="393"/>
      <c r="E44" s="917">
        <f t="shared" si="7"/>
        <v>0</v>
      </c>
      <c r="F44" s="917"/>
      <c r="G44" s="932">
        <f t="shared" si="8"/>
        <v>4.0949999999999997E-3</v>
      </c>
      <c r="H44" s="918"/>
      <c r="I44" s="931">
        <f t="shared" si="9"/>
        <v>0</v>
      </c>
      <c r="J44" s="931">
        <f t="shared" si="10"/>
        <v>0</v>
      </c>
      <c r="K44" s="931"/>
      <c r="L44" s="931">
        <f t="shared" si="6"/>
        <v>0</v>
      </c>
    </row>
    <row r="45" spans="2:12" ht="15.75">
      <c r="B45" s="907" t="s">
        <v>574</v>
      </c>
      <c r="C45" s="907" t="str">
        <f t="shared" ref="C45:C50" si="11">+C44</f>
        <v>Year 2020</v>
      </c>
      <c r="D45" s="907"/>
      <c r="E45" s="917">
        <f t="shared" si="7"/>
        <v>0</v>
      </c>
      <c r="F45" s="917"/>
      <c r="G45" s="932">
        <f t="shared" si="8"/>
        <v>4.0949999999999997E-3</v>
      </c>
      <c r="H45" s="918"/>
      <c r="I45" s="931">
        <f t="shared" si="9"/>
        <v>0</v>
      </c>
      <c r="J45" s="931">
        <f t="shared" si="10"/>
        <v>0</v>
      </c>
      <c r="K45" s="931"/>
      <c r="L45" s="931">
        <f t="shared" si="6"/>
        <v>0</v>
      </c>
    </row>
    <row r="46" spans="2:12" ht="15.75">
      <c r="B46" s="907" t="s">
        <v>575</v>
      </c>
      <c r="C46" s="907" t="str">
        <f t="shared" si="11"/>
        <v>Year 2020</v>
      </c>
      <c r="D46" s="907"/>
      <c r="E46" s="917">
        <f t="shared" si="7"/>
        <v>0</v>
      </c>
      <c r="F46" s="917"/>
      <c r="G46" s="932">
        <f t="shared" si="8"/>
        <v>4.0949999999999997E-3</v>
      </c>
      <c r="H46" s="918"/>
      <c r="I46" s="931">
        <f t="shared" si="9"/>
        <v>0</v>
      </c>
      <c r="J46" s="931">
        <f t="shared" si="10"/>
        <v>0</v>
      </c>
      <c r="K46" s="931"/>
      <c r="L46" s="931">
        <f t="shared" si="6"/>
        <v>0</v>
      </c>
    </row>
    <row r="47" spans="2:12" ht="15.75">
      <c r="B47" s="907" t="s">
        <v>576</v>
      </c>
      <c r="C47" s="907" t="str">
        <f t="shared" si="11"/>
        <v>Year 2020</v>
      </c>
      <c r="D47" s="907"/>
      <c r="E47" s="917">
        <f t="shared" si="7"/>
        <v>0</v>
      </c>
      <c r="F47" s="917"/>
      <c r="G47" s="932">
        <f t="shared" si="8"/>
        <v>4.0949999999999997E-3</v>
      </c>
      <c r="H47" s="918"/>
      <c r="I47" s="931">
        <f t="shared" si="9"/>
        <v>0</v>
      </c>
      <c r="J47" s="931">
        <f>J46</f>
        <v>0</v>
      </c>
      <c r="K47" s="931"/>
      <c r="L47" s="931">
        <f t="shared" si="6"/>
        <v>0</v>
      </c>
    </row>
    <row r="48" spans="2:12" ht="15.75">
      <c r="B48" s="907" t="s">
        <v>577</v>
      </c>
      <c r="C48" s="907" t="str">
        <f t="shared" si="11"/>
        <v>Year 2020</v>
      </c>
      <c r="D48" s="907"/>
      <c r="E48" s="917">
        <f t="shared" si="7"/>
        <v>0</v>
      </c>
      <c r="F48" s="917"/>
      <c r="G48" s="932">
        <f t="shared" si="8"/>
        <v>4.0949999999999997E-3</v>
      </c>
      <c r="H48" s="918"/>
      <c r="I48" s="931">
        <f t="shared" si="9"/>
        <v>0</v>
      </c>
      <c r="J48" s="931">
        <f t="shared" si="10"/>
        <v>0</v>
      </c>
      <c r="K48" s="931"/>
      <c r="L48" s="931">
        <f t="shared" si="6"/>
        <v>0</v>
      </c>
    </row>
    <row r="49" spans="2:12" ht="15.75">
      <c r="B49" s="907" t="s">
        <v>578</v>
      </c>
      <c r="C49" s="907" t="str">
        <f t="shared" si="11"/>
        <v>Year 2020</v>
      </c>
      <c r="D49" s="907"/>
      <c r="E49" s="917">
        <f t="shared" si="7"/>
        <v>0</v>
      </c>
      <c r="F49" s="917"/>
      <c r="G49" s="932">
        <f t="shared" si="8"/>
        <v>4.0949999999999997E-3</v>
      </c>
      <c r="H49" s="907"/>
      <c r="I49" s="931">
        <f t="shared" si="9"/>
        <v>0</v>
      </c>
      <c r="J49" s="931">
        <f t="shared" si="10"/>
        <v>0</v>
      </c>
      <c r="K49" s="931"/>
      <c r="L49" s="931">
        <f t="shared" si="6"/>
        <v>0</v>
      </c>
    </row>
    <row r="50" spans="2:12" ht="15.75">
      <c r="B50" s="907" t="s">
        <v>579</v>
      </c>
      <c r="C50" s="907" t="str">
        <f t="shared" si="11"/>
        <v>Year 2020</v>
      </c>
      <c r="D50" s="907"/>
      <c r="E50" s="917">
        <f t="shared" si="7"/>
        <v>0</v>
      </c>
      <c r="F50" s="917"/>
      <c r="G50" s="932">
        <f t="shared" si="8"/>
        <v>4.0949999999999997E-3</v>
      </c>
      <c r="H50" s="907"/>
      <c r="I50" s="933">
        <f t="shared" si="9"/>
        <v>0</v>
      </c>
      <c r="J50" s="931">
        <f t="shared" si="10"/>
        <v>0</v>
      </c>
      <c r="K50" s="931"/>
      <c r="L50" s="931">
        <f t="shared" si="6"/>
        <v>0</v>
      </c>
    </row>
    <row r="51" spans="2:12" ht="15.75">
      <c r="B51" s="907"/>
      <c r="C51" s="907"/>
      <c r="D51" s="907"/>
      <c r="E51" s="917"/>
      <c r="F51" s="917"/>
      <c r="G51" s="932"/>
      <c r="H51" s="907"/>
      <c r="I51" s="931">
        <f>SUM(I39:I50)</f>
        <v>0</v>
      </c>
      <c r="J51" s="931"/>
      <c r="K51" s="931"/>
      <c r="L51" s="931"/>
    </row>
    <row r="52" spans="2:12" ht="15">
      <c r="B52" s="393"/>
      <c r="C52" s="393"/>
      <c r="D52" s="393"/>
      <c r="E52" s="393"/>
      <c r="F52" s="393"/>
      <c r="G52" s="393"/>
      <c r="H52" s="393"/>
      <c r="I52" s="393"/>
      <c r="J52" s="938"/>
      <c r="K52" s="393"/>
      <c r="L52" s="393"/>
    </row>
    <row r="53" spans="2:12" ht="15.75">
      <c r="B53" s="907" t="s">
        <v>583</v>
      </c>
      <c r="C53" s="393"/>
      <c r="D53" s="393"/>
      <c r="E53" s="393"/>
      <c r="F53" s="393"/>
      <c r="G53" s="393"/>
      <c r="H53" s="393"/>
      <c r="I53" s="393"/>
      <c r="J53" s="939">
        <f>(SUM(J39:J50)*-1)</f>
        <v>0</v>
      </c>
      <c r="K53" s="393"/>
      <c r="L53" s="393"/>
    </row>
    <row r="54" spans="2:12" ht="15.75">
      <c r="B54" s="907" t="s">
        <v>584</v>
      </c>
      <c r="C54" s="393"/>
      <c r="D54" s="393"/>
      <c r="E54" s="393"/>
      <c r="F54" s="393"/>
      <c r="G54" s="393"/>
      <c r="H54" s="393"/>
      <c r="I54" s="393"/>
      <c r="J54" s="940">
        <f>+I10</f>
        <v>0</v>
      </c>
      <c r="K54" s="393"/>
      <c r="L54" s="393"/>
    </row>
    <row r="55" spans="2:12" ht="15.75">
      <c r="B55" s="907" t="s">
        <v>585</v>
      </c>
      <c r="C55" s="393"/>
      <c r="D55" s="393"/>
      <c r="E55" s="393"/>
      <c r="F55" s="393"/>
      <c r="G55" s="393"/>
      <c r="H55" s="393"/>
      <c r="I55" s="393"/>
      <c r="J55" s="939">
        <f>(J53+J54)</f>
        <v>0</v>
      </c>
      <c r="K55" s="393"/>
      <c r="L55" s="393"/>
    </row>
    <row r="56" spans="2:12">
      <c r="B56" s="392"/>
      <c r="C56" s="392"/>
      <c r="D56" s="392"/>
      <c r="E56" s="392"/>
      <c r="F56" s="392"/>
      <c r="G56" s="392"/>
      <c r="H56" s="392"/>
      <c r="I56" s="392"/>
      <c r="J56" s="392"/>
      <c r="K56" s="392"/>
      <c r="L56" s="392"/>
    </row>
    <row r="57" spans="2:12" ht="60" customHeight="1">
      <c r="B57" s="1582" t="s">
        <v>586</v>
      </c>
      <c r="C57" s="1582"/>
      <c r="D57" s="1582"/>
      <c r="E57" s="1582"/>
      <c r="F57" s="1582"/>
      <c r="G57" s="1582"/>
      <c r="H57" s="1582"/>
      <c r="I57" s="1582"/>
      <c r="J57" s="1582"/>
      <c r="K57" s="1582"/>
      <c r="L57" s="1582"/>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7"/>
  <sheetViews>
    <sheetView view="pageBreakPreview" zoomScale="60" zoomScaleNormal="100" workbookViewId="0">
      <selection activeCell="G15" sqref="G15"/>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81" t="s">
        <v>831</v>
      </c>
      <c r="C1" s="1581"/>
      <c r="D1" s="1581"/>
      <c r="E1" s="1581"/>
      <c r="F1" s="1581"/>
      <c r="G1" s="1581"/>
      <c r="H1" s="1581"/>
      <c r="I1" s="1581"/>
      <c r="J1" s="1581"/>
      <c r="K1" s="1581"/>
      <c r="L1" s="1581"/>
    </row>
    <row r="2" spans="1:12" ht="15.75">
      <c r="A2" s="172"/>
      <c r="B2" s="1580" t="s">
        <v>557</v>
      </c>
      <c r="C2" s="1580"/>
      <c r="D2" s="1580"/>
      <c r="E2" s="1580"/>
      <c r="F2" s="1580"/>
      <c r="G2" s="1580"/>
      <c r="H2" s="1580"/>
      <c r="I2" s="1580"/>
      <c r="J2" s="1580"/>
      <c r="K2" s="1580"/>
      <c r="L2" s="1580"/>
    </row>
    <row r="3" spans="1:12" ht="15.75">
      <c r="A3" s="172"/>
      <c r="B3" s="1580" t="s">
        <v>587</v>
      </c>
      <c r="C3" s="1580"/>
      <c r="D3" s="1580"/>
      <c r="E3" s="1580"/>
      <c r="F3" s="1580"/>
      <c r="G3" s="1580"/>
      <c r="H3" s="1580"/>
      <c r="I3" s="1580"/>
      <c r="J3" s="1580"/>
      <c r="K3" s="1580"/>
      <c r="L3" s="1580"/>
    </row>
    <row r="4" spans="1:12" ht="15.75">
      <c r="A4" s="172"/>
      <c r="B4" s="393"/>
      <c r="C4" s="393"/>
      <c r="D4" s="393"/>
      <c r="E4" s="1580"/>
      <c r="F4" s="1580"/>
      <c r="G4" s="1580"/>
      <c r="H4" s="1580"/>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31.5">
      <c r="A8" s="172"/>
      <c r="B8" s="908" t="str">
        <f>"Reconciliation Revenue Requirement For Year 2018 Available May 25, 2019"</f>
        <v>Reconciliation Revenue Requirement For Year 2018 Available May 25, 2019</v>
      </c>
      <c r="C8" s="907"/>
      <c r="D8" s="907"/>
      <c r="E8" s="908" t="s">
        <v>974</v>
      </c>
      <c r="F8" s="907"/>
      <c r="G8" s="907"/>
      <c r="H8" s="393"/>
      <c r="I8" s="908" t="s">
        <v>559</v>
      </c>
      <c r="J8" s="393"/>
      <c r="K8" s="393"/>
      <c r="L8" s="393"/>
    </row>
    <row r="9" spans="1:12" ht="15.75">
      <c r="A9" s="172"/>
      <c r="B9" s="909" t="s">
        <v>408</v>
      </c>
      <c r="C9" s="907"/>
      <c r="D9" s="907"/>
      <c r="E9" s="909"/>
      <c r="F9" s="907"/>
      <c r="G9" s="907"/>
      <c r="H9" s="393"/>
      <c r="I9" s="910"/>
      <c r="J9" s="393"/>
      <c r="K9" s="393"/>
      <c r="L9" s="393"/>
    </row>
    <row r="10" spans="1:12" ht="16.5" thickBot="1">
      <c r="A10" s="172"/>
      <c r="B10" s="905">
        <v>0</v>
      </c>
      <c r="C10" s="911" t="str">
        <f>"-"</f>
        <v>-</v>
      </c>
      <c r="D10" s="912"/>
      <c r="E10" s="905">
        <v>0</v>
      </c>
      <c r="F10" s="913"/>
      <c r="G10" s="914" t="str">
        <f>"="</f>
        <v>=</v>
      </c>
      <c r="H10" s="915"/>
      <c r="I10" s="916">
        <f>IF(B10=0,0,E10-B10)</f>
        <v>0</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19"/>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617</v>
      </c>
      <c r="C14" s="918"/>
      <c r="D14" s="918"/>
      <c r="E14" s="924" t="s">
        <v>560</v>
      </c>
      <c r="F14" s="917"/>
      <c r="G14" s="924" t="s">
        <v>561</v>
      </c>
      <c r="H14" s="925" t="s">
        <v>562</v>
      </c>
      <c r="I14" s="926" t="s">
        <v>563</v>
      </c>
      <c r="J14" s="924" t="s">
        <v>564</v>
      </c>
      <c r="K14" s="927"/>
      <c r="L14" s="924" t="s">
        <v>565</v>
      </c>
    </row>
    <row r="15" spans="1:12" ht="15.75">
      <c r="A15" s="172"/>
      <c r="B15" s="923" t="s">
        <v>618</v>
      </c>
      <c r="C15" s="918"/>
      <c r="D15" s="918"/>
      <c r="E15" s="393"/>
      <c r="F15" s="928"/>
      <c r="G15" s="1316">
        <f>'WS R Interest'!G15</f>
        <v>4.0949999999999997E-3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
        <v>975</v>
      </c>
      <c r="C17" s="918"/>
      <c r="D17" s="918"/>
      <c r="E17" s="393"/>
      <c r="F17" s="928"/>
      <c r="G17" s="928"/>
      <c r="H17" s="917"/>
      <c r="I17" s="393"/>
      <c r="J17" s="393"/>
      <c r="K17" s="393"/>
      <c r="L17" s="393"/>
    </row>
    <row r="18" spans="1:12" ht="15.75">
      <c r="A18" s="172"/>
      <c r="B18" s="929" t="s">
        <v>408</v>
      </c>
      <c r="C18" s="918"/>
      <c r="D18" s="918"/>
      <c r="E18" s="918"/>
      <c r="F18" s="918"/>
      <c r="G18" s="918" t="s">
        <v>408</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566</v>
      </c>
      <c r="C20" s="918"/>
      <c r="D20" s="918"/>
      <c r="E20" s="918"/>
      <c r="F20" s="918"/>
      <c r="G20" s="393"/>
      <c r="H20" s="393"/>
      <c r="I20" s="925" t="s">
        <v>567</v>
      </c>
      <c r="J20" s="918"/>
      <c r="K20" s="918"/>
      <c r="L20" s="918"/>
    </row>
    <row r="21" spans="1:12" ht="15.75">
      <c r="A21" s="172"/>
      <c r="B21" s="907" t="s">
        <v>568</v>
      </c>
      <c r="C21" s="907" t="str">
        <f>"Year 2018"</f>
        <v>Year 2018</v>
      </c>
      <c r="D21" s="907"/>
      <c r="E21" s="931">
        <f>I10/12</f>
        <v>0</v>
      </c>
      <c r="F21" s="931"/>
      <c r="G21" s="932">
        <f>+G15</f>
        <v>4.0949999999999997E-3</v>
      </c>
      <c r="H21" s="1315">
        <v>12</v>
      </c>
      <c r="I21" s="931">
        <f>G21*E21*H21*-1</f>
        <v>0</v>
      </c>
      <c r="J21" s="931"/>
      <c r="K21" s="931"/>
      <c r="L21" s="931">
        <f>(-I21+E21)*-1</f>
        <v>0</v>
      </c>
    </row>
    <row r="22" spans="1:12" ht="15.75">
      <c r="A22" s="172"/>
      <c r="B22" s="907" t="s">
        <v>569</v>
      </c>
      <c r="C22" s="907" t="str">
        <f>C21</f>
        <v>Year 2018</v>
      </c>
      <c r="D22" s="907"/>
      <c r="E22" s="931">
        <f>+E21</f>
        <v>0</v>
      </c>
      <c r="F22" s="931"/>
      <c r="G22" s="932">
        <f>+G21</f>
        <v>4.0949999999999997E-3</v>
      </c>
      <c r="H22" s="1315">
        <f t="shared" ref="H22:H32" si="0">+H21-1</f>
        <v>11</v>
      </c>
      <c r="I22" s="931">
        <f t="shared" ref="I22:I32" si="1">G22*E22*H22*-1</f>
        <v>0</v>
      </c>
      <c r="J22" s="931"/>
      <c r="K22" s="931"/>
      <c r="L22" s="931">
        <f t="shared" ref="L22:L32" si="2">(-I22+E22)*-1</f>
        <v>0</v>
      </c>
    </row>
    <row r="23" spans="1:12" ht="15.75">
      <c r="A23" s="172"/>
      <c r="B23" s="907" t="s">
        <v>570</v>
      </c>
      <c r="C23" s="907" t="str">
        <f t="shared" ref="C23:C32" si="3">C22</f>
        <v>Year 2018</v>
      </c>
      <c r="D23" s="907"/>
      <c r="E23" s="931">
        <f t="shared" ref="E23:E32" si="4">+E22</f>
        <v>0</v>
      </c>
      <c r="F23" s="931"/>
      <c r="G23" s="932">
        <f t="shared" ref="G23:G32" si="5">+G22</f>
        <v>4.0949999999999997E-3</v>
      </c>
      <c r="H23" s="1315">
        <f t="shared" si="0"/>
        <v>10</v>
      </c>
      <c r="I23" s="931">
        <f t="shared" si="1"/>
        <v>0</v>
      </c>
      <c r="J23" s="931"/>
      <c r="K23" s="931"/>
      <c r="L23" s="931">
        <f t="shared" si="2"/>
        <v>0</v>
      </c>
    </row>
    <row r="24" spans="1:12" ht="15.75">
      <c r="A24" s="172"/>
      <c r="B24" s="907" t="s">
        <v>571</v>
      </c>
      <c r="C24" s="907" t="str">
        <f t="shared" si="3"/>
        <v>Year 2018</v>
      </c>
      <c r="D24" s="907"/>
      <c r="E24" s="931">
        <f t="shared" si="4"/>
        <v>0</v>
      </c>
      <c r="F24" s="931"/>
      <c r="G24" s="932">
        <f t="shared" si="5"/>
        <v>4.0949999999999997E-3</v>
      </c>
      <c r="H24" s="1315">
        <f t="shared" si="0"/>
        <v>9</v>
      </c>
      <c r="I24" s="931">
        <f t="shared" si="1"/>
        <v>0</v>
      </c>
      <c r="J24" s="931"/>
      <c r="K24" s="931"/>
      <c r="L24" s="931">
        <f t="shared" si="2"/>
        <v>0</v>
      </c>
    </row>
    <row r="25" spans="1:12" ht="15.75">
      <c r="A25" s="172"/>
      <c r="B25" s="907" t="s">
        <v>572</v>
      </c>
      <c r="C25" s="907" t="str">
        <f t="shared" si="3"/>
        <v>Year 2018</v>
      </c>
      <c r="D25" s="907"/>
      <c r="E25" s="931">
        <f t="shared" si="4"/>
        <v>0</v>
      </c>
      <c r="F25" s="931"/>
      <c r="G25" s="932">
        <f t="shared" si="5"/>
        <v>4.0949999999999997E-3</v>
      </c>
      <c r="H25" s="1315">
        <f t="shared" si="0"/>
        <v>8</v>
      </c>
      <c r="I25" s="931">
        <f t="shared" si="1"/>
        <v>0</v>
      </c>
      <c r="J25" s="931"/>
      <c r="K25" s="931"/>
      <c r="L25" s="931">
        <f t="shared" si="2"/>
        <v>0</v>
      </c>
    </row>
    <row r="26" spans="1:12" ht="15.75">
      <c r="A26" s="172"/>
      <c r="B26" s="907" t="s">
        <v>573</v>
      </c>
      <c r="C26" s="907" t="str">
        <f t="shared" si="3"/>
        <v>Year 2018</v>
      </c>
      <c r="D26" s="907"/>
      <c r="E26" s="931">
        <f t="shared" si="4"/>
        <v>0</v>
      </c>
      <c r="F26" s="931"/>
      <c r="G26" s="932">
        <f t="shared" si="5"/>
        <v>4.0949999999999997E-3</v>
      </c>
      <c r="H26" s="1315">
        <f t="shared" si="0"/>
        <v>7</v>
      </c>
      <c r="I26" s="931">
        <f t="shared" si="1"/>
        <v>0</v>
      </c>
      <c r="J26" s="931"/>
      <c r="K26" s="931"/>
      <c r="L26" s="931">
        <f t="shared" si="2"/>
        <v>0</v>
      </c>
    </row>
    <row r="27" spans="1:12" ht="15.75">
      <c r="A27" s="172"/>
      <c r="B27" s="907" t="s">
        <v>574</v>
      </c>
      <c r="C27" s="907" t="str">
        <f t="shared" si="3"/>
        <v>Year 2018</v>
      </c>
      <c r="D27" s="907"/>
      <c r="E27" s="931">
        <f t="shared" si="4"/>
        <v>0</v>
      </c>
      <c r="F27" s="931"/>
      <c r="G27" s="932">
        <f t="shared" si="5"/>
        <v>4.0949999999999997E-3</v>
      </c>
      <c r="H27" s="1315">
        <f t="shared" si="0"/>
        <v>6</v>
      </c>
      <c r="I27" s="931">
        <f t="shared" si="1"/>
        <v>0</v>
      </c>
      <c r="J27" s="931"/>
      <c r="K27" s="931"/>
      <c r="L27" s="931">
        <f t="shared" si="2"/>
        <v>0</v>
      </c>
    </row>
    <row r="28" spans="1:12" ht="15.75">
      <c r="A28" s="172"/>
      <c r="B28" s="907" t="s">
        <v>575</v>
      </c>
      <c r="C28" s="907" t="str">
        <f t="shared" si="3"/>
        <v>Year 2018</v>
      </c>
      <c r="D28" s="907"/>
      <c r="E28" s="931">
        <f t="shared" si="4"/>
        <v>0</v>
      </c>
      <c r="F28" s="931"/>
      <c r="G28" s="932">
        <f t="shared" si="5"/>
        <v>4.0949999999999997E-3</v>
      </c>
      <c r="H28" s="1315">
        <f t="shared" si="0"/>
        <v>5</v>
      </c>
      <c r="I28" s="931">
        <f t="shared" si="1"/>
        <v>0</v>
      </c>
      <c r="J28" s="931"/>
      <c r="K28" s="931"/>
      <c r="L28" s="931">
        <f t="shared" si="2"/>
        <v>0</v>
      </c>
    </row>
    <row r="29" spans="1:12" ht="15.75">
      <c r="A29" s="172"/>
      <c r="B29" s="907" t="s">
        <v>576</v>
      </c>
      <c r="C29" s="907" t="str">
        <f t="shared" si="3"/>
        <v>Year 2018</v>
      </c>
      <c r="D29" s="907"/>
      <c r="E29" s="931">
        <f t="shared" si="4"/>
        <v>0</v>
      </c>
      <c r="F29" s="931"/>
      <c r="G29" s="932">
        <f t="shared" si="5"/>
        <v>4.0949999999999997E-3</v>
      </c>
      <c r="H29" s="1315">
        <f t="shared" si="0"/>
        <v>4</v>
      </c>
      <c r="I29" s="931">
        <f t="shared" si="1"/>
        <v>0</v>
      </c>
      <c r="J29" s="931"/>
      <c r="K29" s="931"/>
      <c r="L29" s="931">
        <f t="shared" si="2"/>
        <v>0</v>
      </c>
    </row>
    <row r="30" spans="1:12" ht="15.75">
      <c r="A30" s="172"/>
      <c r="B30" s="907" t="s">
        <v>577</v>
      </c>
      <c r="C30" s="907" t="str">
        <f t="shared" si="3"/>
        <v>Year 2018</v>
      </c>
      <c r="D30" s="907"/>
      <c r="E30" s="931">
        <f t="shared" si="4"/>
        <v>0</v>
      </c>
      <c r="F30" s="931"/>
      <c r="G30" s="932">
        <f t="shared" si="5"/>
        <v>4.0949999999999997E-3</v>
      </c>
      <c r="H30" s="1315">
        <f t="shared" si="0"/>
        <v>3</v>
      </c>
      <c r="I30" s="931">
        <f t="shared" si="1"/>
        <v>0</v>
      </c>
      <c r="J30" s="931"/>
      <c r="K30" s="931"/>
      <c r="L30" s="931">
        <f t="shared" si="2"/>
        <v>0</v>
      </c>
    </row>
    <row r="31" spans="1:12" ht="15.75">
      <c r="A31" s="172"/>
      <c r="B31" s="907" t="s">
        <v>578</v>
      </c>
      <c r="C31" s="907" t="str">
        <f t="shared" si="3"/>
        <v>Year 2018</v>
      </c>
      <c r="D31" s="907"/>
      <c r="E31" s="931">
        <f t="shared" si="4"/>
        <v>0</v>
      </c>
      <c r="F31" s="931"/>
      <c r="G31" s="932">
        <f t="shared" si="5"/>
        <v>4.0949999999999997E-3</v>
      </c>
      <c r="H31" s="1315">
        <f t="shared" si="0"/>
        <v>2</v>
      </c>
      <c r="I31" s="931">
        <f t="shared" si="1"/>
        <v>0</v>
      </c>
      <c r="J31" s="931"/>
      <c r="K31" s="931"/>
      <c r="L31" s="931">
        <f t="shared" si="2"/>
        <v>0</v>
      </c>
    </row>
    <row r="32" spans="1:12" ht="15.75">
      <c r="A32" s="172"/>
      <c r="B32" s="907" t="s">
        <v>579</v>
      </c>
      <c r="C32" s="907" t="str">
        <f t="shared" si="3"/>
        <v>Year 2018</v>
      </c>
      <c r="D32" s="907"/>
      <c r="E32" s="931">
        <f t="shared" si="4"/>
        <v>0</v>
      </c>
      <c r="F32" s="931"/>
      <c r="G32" s="932">
        <f t="shared" si="5"/>
        <v>4.0949999999999997E-3</v>
      </c>
      <c r="H32" s="1315">
        <f t="shared" si="0"/>
        <v>1</v>
      </c>
      <c r="I32" s="933">
        <f t="shared" si="1"/>
        <v>0</v>
      </c>
      <c r="J32" s="931"/>
      <c r="K32" s="931"/>
      <c r="L32" s="931">
        <f t="shared" si="2"/>
        <v>0</v>
      </c>
    </row>
    <row r="33" spans="1:12" ht="15.75">
      <c r="A33" s="172"/>
      <c r="B33" s="907"/>
      <c r="C33" s="907"/>
      <c r="D33" s="907"/>
      <c r="E33" s="931"/>
      <c r="F33" s="931"/>
      <c r="G33" s="932"/>
      <c r="H33" s="918"/>
      <c r="I33" s="931">
        <f>SUM(I21:I32)</f>
        <v>0</v>
      </c>
      <c r="J33" s="931"/>
      <c r="K33" s="931"/>
      <c r="L33" s="934">
        <f>SUM(L21:L32)</f>
        <v>0</v>
      </c>
    </row>
    <row r="34" spans="1:12" ht="15.75">
      <c r="A34" s="172"/>
      <c r="B34" s="907"/>
      <c r="C34" s="907"/>
      <c r="D34" s="907"/>
      <c r="E34" s="931"/>
      <c r="F34" s="931"/>
      <c r="G34" s="932"/>
      <c r="H34" s="918"/>
      <c r="I34" s="931"/>
      <c r="J34" s="931" t="s">
        <v>408</v>
      </c>
      <c r="K34" s="931"/>
      <c r="L34" s="393"/>
    </row>
    <row r="35" spans="1:12" ht="15.75">
      <c r="A35" s="172"/>
      <c r="B35" s="907"/>
      <c r="C35" s="907"/>
      <c r="D35" s="907"/>
      <c r="E35" s="917"/>
      <c r="F35" s="917"/>
      <c r="G35" s="932"/>
      <c r="H35" s="918"/>
      <c r="I35" s="935" t="s">
        <v>580</v>
      </c>
      <c r="J35" s="931"/>
      <c r="K35" s="931"/>
      <c r="L35" s="931"/>
    </row>
    <row r="36" spans="1:12" ht="15.75">
      <c r="A36" s="172"/>
      <c r="B36" s="907" t="s">
        <v>581</v>
      </c>
      <c r="C36" s="907" t="str">
        <f>"Year 2019"</f>
        <v>Year 2019</v>
      </c>
      <c r="D36" s="907"/>
      <c r="E36" s="917">
        <f>L33</f>
        <v>0</v>
      </c>
      <c r="F36" s="917"/>
      <c r="G36" s="932">
        <f>+G32</f>
        <v>4.0949999999999997E-3</v>
      </c>
      <c r="H36" s="1315">
        <v>12</v>
      </c>
      <c r="I36" s="931">
        <f>+H36*G36*E36</f>
        <v>0</v>
      </c>
      <c r="J36" s="931"/>
      <c r="K36" s="931"/>
      <c r="L36" s="934">
        <f>+E36+I36</f>
        <v>0</v>
      </c>
    </row>
    <row r="37" spans="1:12" ht="15.75">
      <c r="A37" s="172"/>
      <c r="B37" s="907"/>
      <c r="C37" s="907"/>
      <c r="D37" s="907"/>
      <c r="E37" s="917"/>
      <c r="F37" s="917"/>
      <c r="G37" s="932"/>
      <c r="H37" s="907"/>
      <c r="I37" s="931"/>
      <c r="J37" s="931"/>
      <c r="K37" s="931"/>
      <c r="L37" s="931"/>
    </row>
    <row r="38" spans="1:12" ht="15.75">
      <c r="A38" s="172"/>
      <c r="B38" s="936" t="s">
        <v>582</v>
      </c>
      <c r="C38" s="907"/>
      <c r="D38" s="907"/>
      <c r="E38" s="931"/>
      <c r="F38" s="931"/>
      <c r="G38" s="932"/>
      <c r="H38" s="907"/>
      <c r="I38" s="935" t="s">
        <v>567</v>
      </c>
      <c r="J38" s="931"/>
      <c r="K38" s="931"/>
      <c r="L38" s="931"/>
    </row>
    <row r="39" spans="1:12" ht="15.75">
      <c r="A39" s="172"/>
      <c r="B39" s="907" t="s">
        <v>568</v>
      </c>
      <c r="C39" s="907" t="str">
        <f>"Year 2020"</f>
        <v>Year 2020</v>
      </c>
      <c r="D39" s="907"/>
      <c r="E39" s="937">
        <f>-L36</f>
        <v>0</v>
      </c>
      <c r="F39" s="917"/>
      <c r="G39" s="932">
        <f>+G32</f>
        <v>4.0949999999999997E-3</v>
      </c>
      <c r="H39" s="907"/>
      <c r="I39" s="931">
        <f xml:space="preserve"> -G39*E39</f>
        <v>0</v>
      </c>
      <c r="J39" s="931">
        <f>PMT(G39,12,L$36)</f>
        <v>0</v>
      </c>
      <c r="K39" s="931"/>
      <c r="L39" s="931">
        <f>(+E39+E39*G39-J39)*-1</f>
        <v>0</v>
      </c>
    </row>
    <row r="40" spans="1:12" ht="15.75">
      <c r="A40" s="172"/>
      <c r="B40" s="907" t="s">
        <v>569</v>
      </c>
      <c r="C40" s="907" t="str">
        <f>+C39</f>
        <v>Year 2020</v>
      </c>
      <c r="D40" s="907"/>
      <c r="E40" s="917">
        <f>-L39</f>
        <v>0</v>
      </c>
      <c r="F40" s="917"/>
      <c r="G40" s="932">
        <f>+G39</f>
        <v>4.0949999999999997E-3</v>
      </c>
      <c r="H40" s="907"/>
      <c r="I40" s="931">
        <f xml:space="preserve"> -G40*E40</f>
        <v>0</v>
      </c>
      <c r="J40" s="931">
        <f>J39</f>
        <v>0</v>
      </c>
      <c r="K40" s="931"/>
      <c r="L40" s="931">
        <f t="shared" ref="L40:L50" si="6">(+E40+E40*G40-J40)*-1</f>
        <v>0</v>
      </c>
    </row>
    <row r="41" spans="1:12" ht="15.75">
      <c r="A41" s="172"/>
      <c r="B41" s="907" t="s">
        <v>570</v>
      </c>
      <c r="C41" s="907" t="str">
        <f>+C40</f>
        <v>Year 2020</v>
      </c>
      <c r="D41" s="907"/>
      <c r="E41" s="917">
        <f t="shared" ref="E41:E50" si="7">-L40</f>
        <v>0</v>
      </c>
      <c r="F41" s="917"/>
      <c r="G41" s="932">
        <f t="shared" ref="G41:G50" si="8">+G40</f>
        <v>4.0949999999999997E-3</v>
      </c>
      <c r="H41" s="907"/>
      <c r="I41" s="931">
        <f t="shared" ref="I41:I50" si="9" xml:space="preserve"> -G41*E41</f>
        <v>0</v>
      </c>
      <c r="J41" s="931">
        <f t="shared" ref="J41:J50" si="10">J40</f>
        <v>0</v>
      </c>
      <c r="K41" s="931"/>
      <c r="L41" s="931">
        <f t="shared" si="6"/>
        <v>0</v>
      </c>
    </row>
    <row r="42" spans="1:12" ht="15.75">
      <c r="A42" s="172"/>
      <c r="B42" s="907" t="s">
        <v>571</v>
      </c>
      <c r="C42" s="907" t="str">
        <f>+C41</f>
        <v>Year 2020</v>
      </c>
      <c r="D42" s="907"/>
      <c r="E42" s="917">
        <f t="shared" si="7"/>
        <v>0</v>
      </c>
      <c r="F42" s="917"/>
      <c r="G42" s="932">
        <f t="shared" si="8"/>
        <v>4.0949999999999997E-3</v>
      </c>
      <c r="H42" s="907"/>
      <c r="I42" s="931">
        <f t="shared" si="9"/>
        <v>0</v>
      </c>
      <c r="J42" s="931">
        <f t="shared" si="10"/>
        <v>0</v>
      </c>
      <c r="K42" s="931"/>
      <c r="L42" s="931">
        <f t="shared" si="6"/>
        <v>0</v>
      </c>
    </row>
    <row r="43" spans="1:12" ht="15.75">
      <c r="A43" s="172"/>
      <c r="B43" s="907" t="s">
        <v>572</v>
      </c>
      <c r="C43" s="907" t="str">
        <f>+C42</f>
        <v>Year 2020</v>
      </c>
      <c r="D43" s="907"/>
      <c r="E43" s="917">
        <f t="shared" si="7"/>
        <v>0</v>
      </c>
      <c r="F43" s="917"/>
      <c r="G43" s="932">
        <f t="shared" si="8"/>
        <v>4.0949999999999997E-3</v>
      </c>
      <c r="H43" s="907"/>
      <c r="I43" s="931">
        <f t="shared" si="9"/>
        <v>0</v>
      </c>
      <c r="J43" s="931">
        <f>J42</f>
        <v>0</v>
      </c>
      <c r="K43" s="931"/>
      <c r="L43" s="931">
        <f t="shared" si="6"/>
        <v>0</v>
      </c>
    </row>
    <row r="44" spans="1:12" ht="15.75">
      <c r="A44" s="172"/>
      <c r="B44" s="907" t="s">
        <v>573</v>
      </c>
      <c r="C44" s="907" t="str">
        <f>C43</f>
        <v>Year 2020</v>
      </c>
      <c r="D44" s="393"/>
      <c r="E44" s="917">
        <f t="shared" si="7"/>
        <v>0</v>
      </c>
      <c r="F44" s="917"/>
      <c r="G44" s="932">
        <f t="shared" si="8"/>
        <v>4.0949999999999997E-3</v>
      </c>
      <c r="H44" s="907"/>
      <c r="I44" s="931">
        <f t="shared" si="9"/>
        <v>0</v>
      </c>
      <c r="J44" s="931">
        <f t="shared" si="10"/>
        <v>0</v>
      </c>
      <c r="K44" s="931"/>
      <c r="L44" s="931">
        <f t="shared" si="6"/>
        <v>0</v>
      </c>
    </row>
    <row r="45" spans="1:12" ht="15.75">
      <c r="A45" s="172"/>
      <c r="B45" s="907" t="s">
        <v>574</v>
      </c>
      <c r="C45" s="907" t="str">
        <f t="shared" ref="C45:C50" si="11">+C44</f>
        <v>Year 2020</v>
      </c>
      <c r="D45" s="907"/>
      <c r="E45" s="917">
        <f t="shared" si="7"/>
        <v>0</v>
      </c>
      <c r="F45" s="917"/>
      <c r="G45" s="932">
        <f t="shared" si="8"/>
        <v>4.0949999999999997E-3</v>
      </c>
      <c r="H45" s="907"/>
      <c r="I45" s="931">
        <f t="shared" si="9"/>
        <v>0</v>
      </c>
      <c r="J45" s="931">
        <f t="shared" si="10"/>
        <v>0</v>
      </c>
      <c r="K45" s="931"/>
      <c r="L45" s="931">
        <f t="shared" si="6"/>
        <v>0</v>
      </c>
    </row>
    <row r="46" spans="1:12" ht="15.75">
      <c r="A46" s="172"/>
      <c r="B46" s="907" t="s">
        <v>575</v>
      </c>
      <c r="C46" s="907" t="str">
        <f t="shared" si="11"/>
        <v>Year 2020</v>
      </c>
      <c r="D46" s="907"/>
      <c r="E46" s="917">
        <f t="shared" si="7"/>
        <v>0</v>
      </c>
      <c r="F46" s="917"/>
      <c r="G46" s="932">
        <f t="shared" si="8"/>
        <v>4.0949999999999997E-3</v>
      </c>
      <c r="H46" s="907"/>
      <c r="I46" s="931">
        <f t="shared" si="9"/>
        <v>0</v>
      </c>
      <c r="J46" s="931">
        <f t="shared" si="10"/>
        <v>0</v>
      </c>
      <c r="K46" s="931"/>
      <c r="L46" s="931">
        <f t="shared" si="6"/>
        <v>0</v>
      </c>
    </row>
    <row r="47" spans="1:12" ht="15.75">
      <c r="A47" s="172"/>
      <c r="B47" s="907" t="s">
        <v>576</v>
      </c>
      <c r="C47" s="907" t="str">
        <f t="shared" si="11"/>
        <v>Year 2020</v>
      </c>
      <c r="D47" s="907"/>
      <c r="E47" s="917">
        <f t="shared" si="7"/>
        <v>0</v>
      </c>
      <c r="F47" s="917"/>
      <c r="G47" s="932">
        <f t="shared" si="8"/>
        <v>4.0949999999999997E-3</v>
      </c>
      <c r="H47" s="907"/>
      <c r="I47" s="931">
        <f t="shared" si="9"/>
        <v>0</v>
      </c>
      <c r="J47" s="931">
        <f>J46</f>
        <v>0</v>
      </c>
      <c r="K47" s="931"/>
      <c r="L47" s="931">
        <f t="shared" si="6"/>
        <v>0</v>
      </c>
    </row>
    <row r="48" spans="1:12" ht="15.75">
      <c r="A48" s="172"/>
      <c r="B48" s="907" t="s">
        <v>577</v>
      </c>
      <c r="C48" s="907" t="str">
        <f t="shared" si="11"/>
        <v>Year 2020</v>
      </c>
      <c r="D48" s="907"/>
      <c r="E48" s="917">
        <f t="shared" si="7"/>
        <v>0</v>
      </c>
      <c r="F48" s="917"/>
      <c r="G48" s="932">
        <f t="shared" si="8"/>
        <v>4.0949999999999997E-3</v>
      </c>
      <c r="H48" s="907"/>
      <c r="I48" s="931">
        <f t="shared" si="9"/>
        <v>0</v>
      </c>
      <c r="J48" s="931">
        <f t="shared" si="10"/>
        <v>0</v>
      </c>
      <c r="K48" s="931"/>
      <c r="L48" s="931">
        <f t="shared" si="6"/>
        <v>0</v>
      </c>
    </row>
    <row r="49" spans="1:12" ht="15.75">
      <c r="A49" s="172"/>
      <c r="B49" s="907" t="s">
        <v>578</v>
      </c>
      <c r="C49" s="907" t="str">
        <f t="shared" si="11"/>
        <v>Year 2020</v>
      </c>
      <c r="D49" s="907"/>
      <c r="E49" s="917">
        <f t="shared" si="7"/>
        <v>0</v>
      </c>
      <c r="F49" s="917"/>
      <c r="G49" s="932">
        <f t="shared" si="8"/>
        <v>4.0949999999999997E-3</v>
      </c>
      <c r="H49" s="907"/>
      <c r="I49" s="931">
        <f t="shared" si="9"/>
        <v>0</v>
      </c>
      <c r="J49" s="931">
        <f t="shared" si="10"/>
        <v>0</v>
      </c>
      <c r="K49" s="931"/>
      <c r="L49" s="931">
        <f t="shared" si="6"/>
        <v>0</v>
      </c>
    </row>
    <row r="50" spans="1:12" ht="15.75">
      <c r="A50" s="172"/>
      <c r="B50" s="907" t="s">
        <v>579</v>
      </c>
      <c r="C50" s="907" t="str">
        <f t="shared" si="11"/>
        <v>Year 2020</v>
      </c>
      <c r="D50" s="907"/>
      <c r="E50" s="917">
        <f t="shared" si="7"/>
        <v>0</v>
      </c>
      <c r="F50" s="917"/>
      <c r="G50" s="932">
        <f t="shared" si="8"/>
        <v>4.0949999999999997E-3</v>
      </c>
      <c r="H50" s="907"/>
      <c r="I50" s="933">
        <f t="shared" si="9"/>
        <v>0</v>
      </c>
      <c r="J50" s="931">
        <f t="shared" si="10"/>
        <v>0</v>
      </c>
      <c r="K50" s="931"/>
      <c r="L50" s="931">
        <f t="shared" si="6"/>
        <v>0</v>
      </c>
    </row>
    <row r="51" spans="1:12" ht="15.75">
      <c r="A51" s="172"/>
      <c r="B51" s="907"/>
      <c r="C51" s="907"/>
      <c r="D51" s="907"/>
      <c r="E51" s="917"/>
      <c r="F51" s="917"/>
      <c r="G51" s="932"/>
      <c r="H51" s="907"/>
      <c r="I51" s="931">
        <f>SUM(I39:I50)</f>
        <v>0</v>
      </c>
      <c r="J51" s="931"/>
      <c r="K51" s="931"/>
      <c r="L51" s="931"/>
    </row>
    <row r="52" spans="1:12" ht="15">
      <c r="A52" s="172"/>
      <c r="B52" s="393"/>
      <c r="C52" s="393"/>
      <c r="D52" s="393"/>
      <c r="E52" s="393"/>
      <c r="F52" s="393"/>
      <c r="G52" s="393"/>
      <c r="H52" s="393"/>
      <c r="I52" s="393"/>
      <c r="J52" s="938"/>
      <c r="K52" s="393"/>
      <c r="L52" s="393"/>
    </row>
    <row r="53" spans="1:12" ht="15.75">
      <c r="A53" s="172"/>
      <c r="B53" s="907" t="s">
        <v>583</v>
      </c>
      <c r="C53" s="393"/>
      <c r="D53" s="393"/>
      <c r="E53" s="393"/>
      <c r="F53" s="393"/>
      <c r="G53" s="393"/>
      <c r="H53" s="393"/>
      <c r="I53" s="393"/>
      <c r="J53" s="939">
        <f>(SUM(J39:J50)*-1)</f>
        <v>0</v>
      </c>
      <c r="K53" s="393"/>
      <c r="L53" s="393"/>
    </row>
    <row r="54" spans="1:12" ht="15.75">
      <c r="A54" s="172"/>
      <c r="B54" s="907" t="s">
        <v>584</v>
      </c>
      <c r="C54" s="393"/>
      <c r="D54" s="393"/>
      <c r="E54" s="393"/>
      <c r="F54" s="393"/>
      <c r="G54" s="393"/>
      <c r="H54" s="393"/>
      <c r="I54" s="393"/>
      <c r="J54" s="940">
        <f>+I10</f>
        <v>0</v>
      </c>
      <c r="K54" s="393"/>
      <c r="L54" s="393"/>
    </row>
    <row r="55" spans="1:12" ht="15.75">
      <c r="A55" s="172"/>
      <c r="B55" s="907" t="s">
        <v>585</v>
      </c>
      <c r="C55" s="393"/>
      <c r="D55" s="393"/>
      <c r="E55" s="393"/>
      <c r="F55" s="393"/>
      <c r="G55" s="393"/>
      <c r="H55" s="393"/>
      <c r="I55" s="393"/>
      <c r="J55" s="939">
        <f>(J53+J54)</f>
        <v>0</v>
      </c>
      <c r="K55" s="393"/>
      <c r="L55" s="393"/>
    </row>
    <row r="56" spans="1:12">
      <c r="A56" s="172"/>
      <c r="B56" s="392"/>
      <c r="C56" s="392"/>
      <c r="D56" s="392"/>
      <c r="E56" s="392"/>
      <c r="F56" s="392"/>
      <c r="G56" s="392"/>
      <c r="H56" s="392"/>
      <c r="I56" s="392"/>
      <c r="J56" s="392"/>
      <c r="K56" s="392"/>
      <c r="L56" s="392"/>
    </row>
    <row r="57" spans="1:12" ht="79.150000000000006" customHeight="1">
      <c r="A57" s="172"/>
      <c r="B57" s="1582" t="s">
        <v>586</v>
      </c>
      <c r="C57" s="1582"/>
      <c r="D57" s="1582"/>
      <c r="E57" s="1582"/>
      <c r="F57" s="1582"/>
      <c r="G57" s="1582"/>
      <c r="H57" s="1582"/>
      <c r="I57" s="1582"/>
      <c r="J57" s="1294"/>
      <c r="K57" s="1295"/>
      <c r="L57" s="1295"/>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7" zoomScale="75" zoomScaleNormal="75" workbookViewId="0">
      <selection activeCell="E46" sqref="E46"/>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92" t="s">
        <v>408</v>
      </c>
    </row>
    <row r="2" spans="1:12" ht="15.75">
      <c r="A2" s="992" t="s">
        <v>408</v>
      </c>
    </row>
    <row r="3" spans="1:12" ht="15">
      <c r="A3" s="1492" t="str">
        <f>TCOS!$F$5</f>
        <v>AEPTCo subsidiaries in PJM</v>
      </c>
      <c r="B3" s="1492" t="str">
        <f>TCOS!$F$5</f>
        <v>AEPTCo subsidiaries in PJM</v>
      </c>
      <c r="C3" s="1492" t="str">
        <f>TCOS!$F$5</f>
        <v>AEPTCo subsidiaries in PJM</v>
      </c>
      <c r="D3" s="1492" t="str">
        <f>TCOS!$F$5</f>
        <v>AEPTCo subsidiaries in PJM</v>
      </c>
      <c r="E3" s="1492" t="str">
        <f>TCOS!$F$5</f>
        <v>AEPTCo subsidiaries in PJM</v>
      </c>
      <c r="F3" s="1492" t="str">
        <f>TCOS!$F$5</f>
        <v>AEPTCo subsidiaries in PJM</v>
      </c>
      <c r="G3" s="1492" t="str">
        <f>TCOS!$F$5</f>
        <v>AEPTCo subsidiaries in PJM</v>
      </c>
      <c r="H3" s="1492" t="str">
        <f>TCOS!$F$5</f>
        <v>AEPTCo subsidiaries in PJM</v>
      </c>
      <c r="I3" s="1492" t="str">
        <f>TCOS!$F$5</f>
        <v>AEPTCo subsidiaries in PJM</v>
      </c>
      <c r="J3" s="21"/>
    </row>
    <row r="4" spans="1:12" ht="15">
      <c r="A4" s="1485" t="str">
        <f>"Cost of Service Formula Rate Using Actual/Projected FF1 Balances"</f>
        <v>Cost of Service Formula Rate Using Actual/Projected FF1 Balances</v>
      </c>
      <c r="B4" s="1485"/>
      <c r="C4" s="1485"/>
      <c r="D4" s="1485"/>
      <c r="E4" s="1485"/>
      <c r="F4" s="1485"/>
      <c r="G4" s="1485"/>
      <c r="H4" s="1485"/>
      <c r="I4" s="1485"/>
      <c r="J4" s="53"/>
    </row>
    <row r="5" spans="1:12" ht="15">
      <c r="A5" s="1485" t="s">
        <v>262</v>
      </c>
      <c r="B5" s="1485"/>
      <c r="C5" s="1485"/>
      <c r="D5" s="1485"/>
      <c r="E5" s="1485"/>
      <c r="F5" s="1485"/>
      <c r="G5" s="1485"/>
      <c r="H5" s="1485"/>
      <c r="I5" s="1485"/>
      <c r="J5" s="52"/>
    </row>
    <row r="6" spans="1:12" ht="15">
      <c r="A6" s="1495" t="str">
        <f>TCOS!F9</f>
        <v>AEP Ohio Transmission Company</v>
      </c>
      <c r="B6" s="1495"/>
      <c r="C6" s="1495"/>
      <c r="D6" s="1495"/>
      <c r="E6" s="1495"/>
      <c r="F6" s="1495"/>
      <c r="G6" s="1495"/>
      <c r="H6" s="1495"/>
      <c r="I6" s="1495"/>
      <c r="J6" s="3"/>
    </row>
    <row r="7" spans="1:12">
      <c r="C7" s="17"/>
      <c r="D7" s="17"/>
    </row>
    <row r="8" spans="1:12" ht="15">
      <c r="A8" s="962"/>
      <c r="B8" s="973"/>
      <c r="C8" s="977" t="s">
        <v>454</v>
      </c>
      <c r="D8" s="977" t="s">
        <v>455</v>
      </c>
      <c r="E8" s="977" t="s">
        <v>456</v>
      </c>
      <c r="F8" s="962"/>
      <c r="G8" s="977" t="s">
        <v>457</v>
      </c>
      <c r="H8" s="962"/>
      <c r="I8" s="977" t="s">
        <v>377</v>
      </c>
      <c r="J8" s="5"/>
      <c r="K8"/>
      <c r="L8"/>
    </row>
    <row r="9" spans="1:12" ht="15">
      <c r="A9" s="961"/>
      <c r="B9" s="973"/>
      <c r="C9" s="962"/>
      <c r="D9" s="962"/>
      <c r="E9" s="962"/>
      <c r="F9" s="962"/>
      <c r="G9" s="962"/>
      <c r="H9" s="962"/>
      <c r="I9" s="978"/>
      <c r="J9"/>
      <c r="K9"/>
      <c r="L9"/>
    </row>
    <row r="10" spans="1:12" ht="12.75" customHeight="1">
      <c r="A10" s="976" t="s">
        <v>461</v>
      </c>
      <c r="B10" s="973"/>
      <c r="C10" s="979"/>
      <c r="D10" s="979"/>
      <c r="E10" s="1493" t="str">
        <f>"Balance @    December 31, "&amp;TCOS!L4&amp;""</f>
        <v>Balance @    December 31, 2023</v>
      </c>
      <c r="F10" s="980"/>
      <c r="G10" s="1493" t="str">
        <f>"Balance @     December 31, "&amp;TCOS!L4-1&amp;""</f>
        <v>Balance @     December 31, 2022</v>
      </c>
      <c r="H10" s="980"/>
      <c r="I10" s="1496" t="str">
        <f>"Average Balance for "&amp;TCOS!L4&amp;""</f>
        <v>Average Balance for 2023</v>
      </c>
      <c r="J10"/>
      <c r="K10"/>
      <c r="L10"/>
    </row>
    <row r="11" spans="1:12" ht="15">
      <c r="A11" s="983" t="s">
        <v>399</v>
      </c>
      <c r="B11" s="981"/>
      <c r="C11" s="976" t="s">
        <v>459</v>
      </c>
      <c r="D11" s="976" t="s">
        <v>490</v>
      </c>
      <c r="E11" s="1494"/>
      <c r="F11" s="982"/>
      <c r="G11" s="1494"/>
      <c r="H11" s="982"/>
      <c r="I11" s="1494"/>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76"/>
      <c r="H16"/>
    </row>
    <row r="17" spans="1:9" ht="14.25">
      <c r="A17" s="51">
        <f>+A15+1</f>
        <v>2</v>
      </c>
      <c r="C17" s="970" t="s">
        <v>301</v>
      </c>
      <c r="D17" s="974" t="s">
        <v>303</v>
      </c>
      <c r="E17" s="960">
        <f>SUM('WS B-1 - Actual Stmt. AF'!Q23:S23)</f>
        <v>0</v>
      </c>
      <c r="F17" s="965"/>
      <c r="G17" s="960">
        <f>SUM('WS B-1 - Actual Stmt. AF'!M23:O23)</f>
        <v>0</v>
      </c>
      <c r="H17" s="966"/>
      <c r="I17" s="967">
        <f>IF(G17="",0,(E17+G17)/2)</f>
        <v>0</v>
      </c>
    </row>
    <row r="18" spans="1:9" ht="14.25">
      <c r="A18" s="51">
        <f>+A17+1</f>
        <v>3</v>
      </c>
      <c r="C18" s="970" t="s">
        <v>305</v>
      </c>
      <c r="D18" s="1226" t="str">
        <f>"WS B-1 - Actual Stmt. AF Ln. " &amp;'WS B-1 - Actual Stmt. AF'!A24&amp;" (Note 1)"</f>
        <v>WS B-1 - Actual Stmt. AF Ln. 4 (Note 1)</v>
      </c>
      <c r="E18" s="960">
        <f>SUM('WS B-1 - Actual Stmt. AF'!Q24:S24)</f>
        <v>0</v>
      </c>
      <c r="F18" s="962"/>
      <c r="G18" s="960">
        <f>SUM('WS B-1 - Actual Stmt. AF'!M24:O24)</f>
        <v>0</v>
      </c>
      <c r="H18" s="966"/>
      <c r="I18" s="967">
        <f>IF(G18="",0,(E18+G18)/2)</f>
        <v>0</v>
      </c>
    </row>
    <row r="19" spans="1:9" ht="16.5">
      <c r="A19" s="51">
        <f>+A18+1</f>
        <v>4</v>
      </c>
      <c r="C19" s="970" t="s">
        <v>306</v>
      </c>
      <c r="D19" s="1226" t="str">
        <f>"WS B-1 - Actual Stmt. AF Ln. " &amp;'WS B-1 - Actual Stmt. AF'!A23&amp;" (Note 1)"</f>
        <v>WS B-1 - Actual Stmt. AF Ln. 3 (Note 1)</v>
      </c>
      <c r="E19" s="964">
        <f>('WS B-1 - Actual Stmt. AF'!Q23+'WS B-1 - Actual Stmt. AF'!S23)-('WS B-1 - Actual Stmt. AF'!Q24+'WS B-1 - Actual Stmt. AF'!S24)</f>
        <v>0</v>
      </c>
      <c r="F19" s="962"/>
      <c r="G19" s="964">
        <f>('WS B-1 - Actual Stmt. AF'!M23+'WS B-1 - Actual Stmt. AF'!O23)-('WS B-1 - Actual Stmt. AF'!M24+'WS B-1 - Actual Stmt. AF'!O24)</f>
        <v>0</v>
      </c>
      <c r="H19" s="962"/>
      <c r="I19" s="968">
        <f>IF(G19="",0,(E19+G19)/2)</f>
        <v>0</v>
      </c>
    </row>
    <row r="20" spans="1:9" ht="14.25">
      <c r="A20" s="51">
        <f>+A19+1</f>
        <v>5</v>
      </c>
      <c r="C20" s="970" t="s">
        <v>302</v>
      </c>
      <c r="D20" s="975" t="str">
        <f>"Ln "&amp;A17&amp;" - ln "&amp;A18&amp;" - ln "&amp;A19&amp;""</f>
        <v>Ln 2 - ln 3 - ln 4</v>
      </c>
      <c r="E20" s="969">
        <f>+E17-E18-E19</f>
        <v>0</v>
      </c>
      <c r="F20" s="962"/>
      <c r="G20" s="969">
        <f>+G17-G18-G19</f>
        <v>0</v>
      </c>
      <c r="H20" s="962"/>
      <c r="I20" s="967">
        <f>+I17-I18-I19</f>
        <v>0</v>
      </c>
    </row>
    <row r="21" spans="1:9" ht="14.25">
      <c r="A21" s="51"/>
      <c r="C21" s="42"/>
      <c r="D21" s="970"/>
      <c r="E21" s="962"/>
      <c r="F21" s="962"/>
      <c r="G21" s="962"/>
      <c r="H21" s="962"/>
      <c r="I21" s="962"/>
    </row>
    <row r="22" spans="1:9" ht="14.25">
      <c r="A22" s="51"/>
      <c r="C22" s="42"/>
      <c r="D22" s="970"/>
      <c r="E22" s="962"/>
      <c r="F22" s="962"/>
      <c r="G22" s="962"/>
      <c r="H22" s="962"/>
      <c r="I22" s="962"/>
    </row>
    <row r="23" spans="1:9" ht="15.75">
      <c r="A23" s="51">
        <f>+A20+1</f>
        <v>6</v>
      </c>
      <c r="C23" s="40" t="s">
        <v>296</v>
      </c>
      <c r="D23" s="970"/>
      <c r="E23" s="962"/>
      <c r="F23" s="962"/>
      <c r="G23" s="962"/>
      <c r="H23" s="962"/>
      <c r="I23" s="962"/>
    </row>
    <row r="24" spans="1:9" ht="14.25">
      <c r="A24" s="51"/>
      <c r="C24" s="42"/>
      <c r="D24" s="970"/>
      <c r="E24" s="962"/>
      <c r="F24" s="962"/>
      <c r="G24" s="962"/>
      <c r="H24" s="962"/>
      <c r="I24" s="962"/>
    </row>
    <row r="25" spans="1:9" ht="14.25">
      <c r="A25" s="51">
        <f>+A23+1</f>
        <v>7</v>
      </c>
      <c r="C25" s="970" t="s">
        <v>301</v>
      </c>
      <c r="D25" s="974" t="s">
        <v>229</v>
      </c>
      <c r="E25" s="960">
        <f>SUM('WS B-1 - Actual Stmt. AF'!Q52:S52)-'WS B-1 - Actual Stmt. AF'!D45</f>
        <v>588242488.08000016</v>
      </c>
      <c r="F25" s="965"/>
      <c r="G25" s="960">
        <f>SUM('WS B-1 - Actual Stmt. AF'!M52:O52)-'WS B-1 - Actual Stmt. AF'!C45</f>
        <v>564838030.95000005</v>
      </c>
      <c r="H25" s="966"/>
      <c r="I25" s="967">
        <f>IF(G25="",0,(E25+G25)/2)</f>
        <v>576540259.5150001</v>
      </c>
    </row>
    <row r="26" spans="1:9" ht="14.25">
      <c r="A26" s="51">
        <f>+A25+1</f>
        <v>8</v>
      </c>
      <c r="C26" s="970" t="s">
        <v>305</v>
      </c>
      <c r="D26" s="1226" t="str">
        <f>"WS B-1 - Actual Stmt. AF Ln. " &amp;'WS B-1 - Actual Stmt. AF'!A53&amp;" (Note 1)"</f>
        <v>WS B-1 - Actual Stmt. AF Ln. 7 (Note 1)</v>
      </c>
      <c r="E26" s="960">
        <f>SUM('WS B-1 - Actual Stmt. AF'!Q53:S53)</f>
        <v>0</v>
      </c>
      <c r="F26" s="965"/>
      <c r="G26" s="960">
        <f>SUM('WS B-1 - Actual Stmt. AF'!M53:O53)</f>
        <v>0</v>
      </c>
      <c r="H26" s="966"/>
      <c r="I26" s="967">
        <f>IF(G26="",0,(E26+G26)/2)</f>
        <v>0</v>
      </c>
    </row>
    <row r="27" spans="1:9" ht="16.5">
      <c r="A27" s="51">
        <f>+A26+1</f>
        <v>9</v>
      </c>
      <c r="C27" s="970" t="s">
        <v>306</v>
      </c>
      <c r="D27" s="1226" t="str">
        <f>"WS B-1 - Actual Stmt. AF Ln. " &amp;'WS B-1 - Actual Stmt. AF'!A52&amp;" (Note 1)"</f>
        <v>WS B-1 - Actual Stmt. AF Ln. 6 (Note 1)</v>
      </c>
      <c r="E27" s="964">
        <f>('WS B-1 - Actual Stmt. AF'!Q52+'WS B-1 - Actual Stmt. AF'!S52)-('WS B-1 - Actual Stmt. AF'!Q53+'WS B-1 - Actual Stmt. AF'!S53)-'WS B-1 - Actual Stmt. AF'!D45</f>
        <v>102079382.40834557</v>
      </c>
      <c r="F27" s="962"/>
      <c r="G27" s="964">
        <f>('WS B-1 - Actual Stmt. AF'!M52+'WS B-1 - Actual Stmt. AF'!O52)-('WS B-1 - Actual Stmt. AF'!M53+'WS B-1 - Actual Stmt. AF'!O53)-'WS B-1 - Actual Stmt. AF'!C45</f>
        <v>102359440.16451961</v>
      </c>
      <c r="H27" s="962"/>
      <c r="I27" s="968">
        <f>IF(G27="",0,(E27+G27)/2)</f>
        <v>102219411.28643259</v>
      </c>
    </row>
    <row r="28" spans="1:9" ht="14.25">
      <c r="A28" s="51">
        <f>+A27+1</f>
        <v>10</v>
      </c>
      <c r="C28" s="970" t="s">
        <v>302</v>
      </c>
      <c r="D28" s="975" t="str">
        <f>"Ln "&amp;A25&amp;" - ln "&amp;A26&amp;" - ln "&amp;A27&amp;""</f>
        <v>Ln 7 - ln 8 - ln 9</v>
      </c>
      <c r="E28" s="969">
        <f>+E25-E26-E27</f>
        <v>486163105.67165458</v>
      </c>
      <c r="F28" s="962"/>
      <c r="G28" s="969">
        <f>+G25-G26-G27</f>
        <v>462478590.78548044</v>
      </c>
      <c r="H28" s="962"/>
      <c r="I28" s="967">
        <f>+I25-I26-I27</f>
        <v>474320848.22856748</v>
      </c>
    </row>
    <row r="29" spans="1:9" ht="14.25">
      <c r="A29" s="51"/>
      <c r="C29" s="42"/>
      <c r="D29" s="970"/>
      <c r="E29" s="962"/>
      <c r="F29" s="962"/>
      <c r="G29" s="962"/>
      <c r="H29" s="962"/>
      <c r="I29" s="962"/>
    </row>
    <row r="30" spans="1:9" ht="14.25">
      <c r="A30" s="51"/>
      <c r="C30" s="42"/>
      <c r="D30" s="970"/>
      <c r="E30" s="963"/>
      <c r="F30" s="962"/>
      <c r="G30" s="963"/>
      <c r="H30" s="962"/>
      <c r="I30" s="962"/>
    </row>
    <row r="31" spans="1:9" ht="15.75">
      <c r="A31" s="51">
        <f>+A28+1</f>
        <v>11</v>
      </c>
      <c r="C31" s="40" t="s">
        <v>297</v>
      </c>
      <c r="D31" s="970"/>
      <c r="E31" s="962"/>
      <c r="F31" s="962"/>
      <c r="G31" s="962"/>
      <c r="H31" s="962"/>
      <c r="I31" s="962"/>
    </row>
    <row r="32" spans="1:9" ht="15.75">
      <c r="A32" s="51"/>
      <c r="C32" s="40"/>
      <c r="D32" s="970"/>
      <c r="E32" s="962"/>
      <c r="F32" s="962"/>
      <c r="G32" s="962"/>
      <c r="H32" s="962"/>
      <c r="I32" s="962"/>
    </row>
    <row r="33" spans="1:9" ht="14.25">
      <c r="A33" s="51">
        <f>+A31+1</f>
        <v>12</v>
      </c>
      <c r="C33" s="970" t="s">
        <v>301</v>
      </c>
      <c r="D33" s="974" t="s">
        <v>304</v>
      </c>
      <c r="E33" s="960">
        <f>SUM('WS B-1 - Actual Stmt. AF'!Q77:S77)-'WS B-1 - Actual Stmt. AF'!D63</f>
        <v>3530195.09</v>
      </c>
      <c r="F33" s="965"/>
      <c r="G33" s="960">
        <f>SUM('WS B-1 - Actual Stmt. AF'!M77:O77)-'WS B-1 - Actual Stmt. AF'!C63</f>
        <v>3580900.0700000003</v>
      </c>
      <c r="H33" s="966"/>
      <c r="I33" s="967">
        <f>IF(G33="",0,(E33+G33)/2)</f>
        <v>3555547.58</v>
      </c>
    </row>
    <row r="34" spans="1:9" ht="14.25">
      <c r="A34" s="51">
        <f>+A33+1</f>
        <v>13</v>
      </c>
      <c r="C34" s="970" t="s">
        <v>305</v>
      </c>
      <c r="D34" s="1226" t="str">
        <f>"WS B-1 - Actual Stmt. AF Ln. " &amp;'WS B-1 - Actual Stmt. AF'!A78&amp;" (Note 1)"</f>
        <v>WS B-1 - Actual Stmt. AF Ln. 13 (Note 1)</v>
      </c>
      <c r="E34" s="960">
        <f>SUM('WS B-1 - Actual Stmt. AF'!Q78:S78)</f>
        <v>0</v>
      </c>
      <c r="F34" s="965"/>
      <c r="G34" s="960">
        <f>SUM('WS B-1 - Actual Stmt. AF'!M78:O78)</f>
        <v>0</v>
      </c>
      <c r="H34" s="966"/>
      <c r="I34" s="967">
        <f>IF(G34="",0,(E34+G34)/2)</f>
        <v>0</v>
      </c>
    </row>
    <row r="35" spans="1:9" ht="16.5">
      <c r="A35" s="51">
        <f>+A34+1</f>
        <v>14</v>
      </c>
      <c r="C35" s="970" t="s">
        <v>306</v>
      </c>
      <c r="D35" s="1226" t="str">
        <f>"WS B-1 - Actual Stmt. AF Ln. " &amp;'WS B-1 - Actual Stmt. AF'!A77&amp;" (Note 1)"</f>
        <v>WS B-1 - Actual Stmt. AF Ln. 12 (Note 1)</v>
      </c>
      <c r="E35" s="964">
        <f>('WS B-1 - Actual Stmt. AF'!Q77+'WS B-1 - Actual Stmt. AF'!S77)-('WS B-1 - Actual Stmt. AF'!Q78+'WS B-1 - Actual Stmt. AF'!S78)-'WS B-1 - Actual Stmt. AF'!D63</f>
        <v>0</v>
      </c>
      <c r="F35" s="962"/>
      <c r="G35" s="964">
        <f>('WS B-1 - Actual Stmt. AF'!M77+'WS B-1 - Actual Stmt. AF'!O77)-('WS B-1 - Actual Stmt. AF'!M78+'WS B-1 - Actual Stmt. AF'!O78)-'WS B-1 - Actual Stmt. AF'!C63</f>
        <v>0</v>
      </c>
      <c r="H35" s="962"/>
      <c r="I35" s="968">
        <f>IF(G35="",0,(E35+G35)/2)</f>
        <v>0</v>
      </c>
    </row>
    <row r="36" spans="1:9" ht="14.25">
      <c r="A36" s="51">
        <f>+A35+1</f>
        <v>15</v>
      </c>
      <c r="C36" s="970" t="s">
        <v>302</v>
      </c>
      <c r="D36" s="975" t="str">
        <f>"Ln "&amp;A33&amp;" - ln "&amp;A34&amp;" - ln "&amp;A35&amp;""</f>
        <v>Ln 12 - ln 13 - ln 14</v>
      </c>
      <c r="E36" s="969">
        <f>+E33-E34-E35</f>
        <v>3530195.09</v>
      </c>
      <c r="F36" s="962"/>
      <c r="G36" s="969">
        <f>+G33-G34-G35</f>
        <v>3580900.0700000003</v>
      </c>
      <c r="H36" s="962"/>
      <c r="I36" s="967">
        <f>+I33-I34-I35</f>
        <v>3555547.58</v>
      </c>
    </row>
    <row r="37" spans="1:9" ht="15.75">
      <c r="A37" s="51"/>
      <c r="C37" s="40"/>
      <c r="D37" s="970"/>
      <c r="E37" s="962"/>
      <c r="F37" s="962"/>
      <c r="G37" s="962"/>
      <c r="H37" s="962"/>
      <c r="I37" s="962"/>
    </row>
    <row r="38" spans="1:9" ht="14.25">
      <c r="A38" s="51"/>
      <c r="C38" s="42"/>
      <c r="D38" s="970"/>
      <c r="E38" s="962"/>
      <c r="F38" s="962"/>
      <c r="G38" s="962"/>
      <c r="H38" s="962"/>
      <c r="I38" s="962"/>
    </row>
    <row r="39" spans="1:9" ht="15.75">
      <c r="A39" s="51">
        <f>+A36+1</f>
        <v>16</v>
      </c>
      <c r="C39" s="40" t="s">
        <v>298</v>
      </c>
      <c r="D39" s="970"/>
      <c r="E39" s="962"/>
      <c r="F39" s="962"/>
      <c r="G39" s="962"/>
      <c r="H39" s="962"/>
      <c r="I39" s="962"/>
    </row>
    <row r="40" spans="1:9" ht="14.25">
      <c r="A40" s="51"/>
      <c r="C40" s="42"/>
      <c r="D40" s="970"/>
      <c r="E40" s="962"/>
      <c r="F40" s="962"/>
      <c r="G40" s="962"/>
      <c r="H40" s="962"/>
      <c r="I40" s="962"/>
    </row>
    <row r="41" spans="1:9" ht="14.25">
      <c r="A41" s="51">
        <f>+A39+1</f>
        <v>17</v>
      </c>
      <c r="C41" s="970" t="s">
        <v>301</v>
      </c>
      <c r="D41" s="974" t="s">
        <v>300</v>
      </c>
      <c r="E41" s="960">
        <f>SUM('WS B-2 - Actual Stmt. AG'!Q52:S52)-'WS B-2 - Actual Stmt. AG'!D42</f>
        <v>12711394.849999998</v>
      </c>
      <c r="F41" s="965"/>
      <c r="G41" s="960">
        <f>SUM('WS B-2 - Actual Stmt. AG'!M52:O52)-'WS B-2 - Actual Stmt. AG'!C42</f>
        <v>3700740.1899999976</v>
      </c>
      <c r="H41" s="966"/>
      <c r="I41" s="967">
        <f>IF(G41="",0,(E41+G41)/2)</f>
        <v>8206067.5199999977</v>
      </c>
    </row>
    <row r="42" spans="1:9" ht="14.25">
      <c r="A42" s="51">
        <f>+A41+1</f>
        <v>18</v>
      </c>
      <c r="C42" s="970" t="s">
        <v>305</v>
      </c>
      <c r="D42" s="1226" t="str">
        <f>"WS B-2 - Actual Stmt. AG Ln. " &amp;'WS B-2 - Actual Stmt. AG'!A53&amp;" (Note 1)"</f>
        <v>WS B-2 - Actual Stmt. AG Ln. 4 (Note 1)</v>
      </c>
      <c r="E42" s="960">
        <f>SUM('WS B-2 - Actual Stmt. AG'!Q53:S53)</f>
        <v>0</v>
      </c>
      <c r="F42" s="965"/>
      <c r="G42" s="960">
        <f>SUM('WS B-2 - Actual Stmt. AG'!M53:O53)</f>
        <v>0</v>
      </c>
      <c r="H42" s="966"/>
      <c r="I42" s="967">
        <f>IF(G42="",0,(E42+G42)/2)</f>
        <v>0</v>
      </c>
    </row>
    <row r="43" spans="1:9" ht="16.5">
      <c r="A43" s="51">
        <f>+A42+1</f>
        <v>19</v>
      </c>
      <c r="C43" s="970" t="s">
        <v>306</v>
      </c>
      <c r="D43" s="1226" t="str">
        <f>"WS B-2 - Actual Stmt. AG Ln. " &amp;'WS B-2 - Actual Stmt. AG'!A52&amp;" (Note 1)"</f>
        <v>WS B-2 - Actual Stmt. AG Ln. 3 (Note 1)</v>
      </c>
      <c r="E43" s="964">
        <f>('WS B-2 - Actual Stmt. AG'!Q52+'WS B-2 - Actual Stmt. AG'!S52)-('WS B-2 - Actual Stmt. AG'!Q53+'WS B-2 - Actual Stmt. AG'!S53)-'WS B-2 - Actual Stmt. AG'!D42</f>
        <v>-25141769.679041002</v>
      </c>
      <c r="F43" s="962"/>
      <c r="G43" s="964">
        <f>('WS B-2 - Actual Stmt. AG'!M52+'WS B-2 - Actual Stmt. AG'!O52)-('WS B-2 - Actual Stmt. AG'!M53+'WS B-2 - Actual Stmt. AG'!O53)-'WS B-2 - Actual Stmt. AG'!C42</f>
        <v>-67265724.050141007</v>
      </c>
      <c r="H43" s="962"/>
      <c r="I43" s="968">
        <f>IF(G43="",0,(E43+G43)/2)</f>
        <v>-46203746.864591002</v>
      </c>
    </row>
    <row r="44" spans="1:9" ht="14.25">
      <c r="A44" s="51">
        <f>+A43+1</f>
        <v>20</v>
      </c>
      <c r="C44" s="970" t="s">
        <v>302</v>
      </c>
      <c r="D44" s="975" t="str">
        <f>"Ln "&amp;A41&amp;" - ln "&amp;A42&amp;" - ln "&amp;A43&amp;""</f>
        <v>Ln 17 - ln 18 - ln 19</v>
      </c>
      <c r="E44" s="969">
        <f>+E41-E42-E43</f>
        <v>37853164.529041</v>
      </c>
      <c r="F44" s="965"/>
      <c r="G44" s="969">
        <f>+G41-G42-G43</f>
        <v>70966464.240141004</v>
      </c>
      <c r="H44" s="962"/>
      <c r="I44" s="967">
        <f>+I41-I42-I43</f>
        <v>54409814.384590998</v>
      </c>
    </row>
    <row r="45" spans="1:9" ht="14.25">
      <c r="A45" s="51"/>
      <c r="C45" s="42"/>
      <c r="D45" s="42"/>
      <c r="E45" s="962"/>
      <c r="F45" s="962"/>
      <c r="G45" s="962"/>
      <c r="H45" s="962"/>
      <c r="I45" s="962"/>
    </row>
    <row r="46" spans="1:9" ht="14.25">
      <c r="A46" s="51"/>
      <c r="C46" s="42"/>
      <c r="D46" s="42"/>
      <c r="E46" s="962"/>
      <c r="F46" s="962"/>
      <c r="G46" s="962"/>
      <c r="H46" s="962"/>
      <c r="I46" s="962"/>
    </row>
    <row r="47" spans="1:9" ht="15.75">
      <c r="A47" s="51">
        <f>+A44+1</f>
        <v>21</v>
      </c>
      <c r="C47" s="40" t="s">
        <v>299</v>
      </c>
      <c r="D47" s="42"/>
      <c r="E47" s="962"/>
      <c r="F47" s="962"/>
      <c r="G47" s="962"/>
      <c r="H47" s="962"/>
      <c r="I47" s="962"/>
    </row>
    <row r="48" spans="1:9" ht="14.25">
      <c r="A48" s="51"/>
      <c r="C48" s="42"/>
      <c r="D48" s="42"/>
      <c r="E48" s="962"/>
      <c r="F48" s="962"/>
      <c r="G48" s="962"/>
      <c r="H48" s="962"/>
      <c r="I48" s="962"/>
    </row>
    <row r="49" spans="1:10" ht="14.25">
      <c r="A49" s="51">
        <f>+A47+1</f>
        <v>22</v>
      </c>
      <c r="C49" s="970" t="s">
        <v>307</v>
      </c>
      <c r="D49" s="974" t="s">
        <v>261</v>
      </c>
      <c r="E49" s="960">
        <f>SUM('WS B-1 - Actual Stmt. AF'!Q91:S91)</f>
        <v>0</v>
      </c>
      <c r="F49" s="962"/>
      <c r="G49" s="960">
        <f>SUM('WS B-1 - Actual Stmt. AF'!M91:O91)</f>
        <v>0</v>
      </c>
      <c r="H49" s="966"/>
      <c r="I49" s="967">
        <f>IF(G49="",0,(E49+G49)/2)</f>
        <v>0</v>
      </c>
    </row>
    <row r="50" spans="1:10" ht="16.5">
      <c r="A50" s="51">
        <f>+A49+1</f>
        <v>23</v>
      </c>
      <c r="C50" s="970" t="s">
        <v>308</v>
      </c>
      <c r="D50" s="961" t="s">
        <v>326</v>
      </c>
      <c r="E50" s="964">
        <v>0</v>
      </c>
      <c r="F50" s="962"/>
      <c r="G50" s="964">
        <v>0</v>
      </c>
      <c r="H50" s="966"/>
      <c r="I50" s="968">
        <f>IF(G50="",0,(E50+G50)/2)</f>
        <v>0</v>
      </c>
    </row>
    <row r="51" spans="1:10" ht="14.25">
      <c r="A51" s="51">
        <f>+A50+1</f>
        <v>24</v>
      </c>
      <c r="C51" s="970" t="s">
        <v>252</v>
      </c>
      <c r="D51" s="975" t="str">
        <f>"Ln "&amp;A49&amp;" - ln "&amp;A50&amp;""</f>
        <v>Ln 22 - ln 23</v>
      </c>
      <c r="E51" s="969">
        <f>+E49-E50</f>
        <v>0</v>
      </c>
      <c r="F51" s="962"/>
      <c r="G51" s="969">
        <f>+G49-G50</f>
        <v>0</v>
      </c>
      <c r="H51" s="966"/>
      <c r="I51" s="967">
        <f>+I49-I50</f>
        <v>0</v>
      </c>
    </row>
    <row r="52" spans="1:10" ht="14.25">
      <c r="A52" s="51">
        <f>+A51+1</f>
        <v>25</v>
      </c>
      <c r="C52" s="970" t="s">
        <v>302</v>
      </c>
      <c r="D52" s="975" t="str">
        <f>"WS B-1 - Actual Stmt. AF Ln. " &amp;'WS B-1 - Actual Stmt. AF'!A91&amp;" (Note 1)"</f>
        <v>WS B-1 - Actual Stmt. AF Ln. 20 (Note 1)</v>
      </c>
      <c r="E52" s="960">
        <f>'WS B-1 - Actual Stmt. AF'!R91</f>
        <v>0</v>
      </c>
      <c r="F52" s="962"/>
      <c r="G52" s="960">
        <f>'WS B-1 - Actual Stmt. AF'!N91</f>
        <v>0</v>
      </c>
      <c r="H52" s="966"/>
      <c r="I52" s="967">
        <f>IF(G52="",0,(E52+G52)/2)</f>
        <v>0</v>
      </c>
    </row>
    <row r="53" spans="1:10">
      <c r="A53" s="51"/>
      <c r="C53" s="42"/>
      <c r="D53" s="42"/>
    </row>
    <row r="54" spans="1:10" ht="14.25">
      <c r="A54" s="971" t="s">
        <v>325</v>
      </c>
      <c r="B54" s="972" t="s">
        <v>408</v>
      </c>
      <c r="C54" s="972" t="s">
        <v>761</v>
      </c>
      <c r="D54" s="42"/>
    </row>
    <row r="55" spans="1:10" ht="14.25">
      <c r="A55" s="961"/>
      <c r="B55" s="973"/>
      <c r="C55" s="970" t="s">
        <v>762</v>
      </c>
      <c r="D55" s="42"/>
    </row>
    <row r="56" spans="1:10" ht="14.25">
      <c r="A56" s="961" t="s">
        <v>258</v>
      </c>
      <c r="B56" s="973" t="s">
        <v>259</v>
      </c>
      <c r="C56" s="970"/>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1"/>
  <sheetViews>
    <sheetView view="pageBreakPreview" topLeftCell="A36" zoomScale="85" zoomScaleNormal="50" zoomScaleSheetLayoutView="85" workbookViewId="0">
      <selection activeCell="N45" sqref="N45"/>
    </sheetView>
  </sheetViews>
  <sheetFormatPr defaultRowHeight="12.75"/>
  <cols>
    <col min="1" max="1" width="6.85546875" style="1003" customWidth="1"/>
    <col min="2" max="2" width="57.7109375" style="1002" bestFit="1" customWidth="1"/>
    <col min="3" max="4" width="14.85546875" style="1002" customWidth="1"/>
    <col min="5" max="6" width="14.28515625" style="1002" customWidth="1"/>
    <col min="7" max="7" width="15.28515625" style="1002" bestFit="1" customWidth="1"/>
    <col min="8" max="8" width="9.140625" style="1002"/>
    <col min="9" max="9" width="13.140625" style="1002" bestFit="1" customWidth="1"/>
    <col min="10" max="10" width="15" style="1002" bestFit="1" customWidth="1"/>
    <col min="11" max="11" width="13.5703125" style="1002" bestFit="1" customWidth="1"/>
    <col min="12" max="12" width="9.140625" style="1002"/>
    <col min="13" max="13" width="13.140625" style="1002" bestFit="1" customWidth="1"/>
    <col min="14" max="14" width="15" style="1002" bestFit="1" customWidth="1"/>
    <col min="15" max="15" width="13.5703125" style="1002" bestFit="1" customWidth="1"/>
    <col min="16" max="16" width="9.140625" style="1002"/>
    <col min="17" max="17" width="13.140625" style="1002" bestFit="1" customWidth="1"/>
    <col min="18" max="18" width="15" style="1002" bestFit="1" customWidth="1"/>
    <col min="19" max="19" width="13.5703125" style="1002" bestFit="1" customWidth="1"/>
    <col min="20" max="16384" width="9.140625" style="1002"/>
  </cols>
  <sheetData>
    <row r="1" spans="1:19">
      <c r="A1" s="1028"/>
      <c r="B1" s="1050" t="str">
        <f>TCOS!F9</f>
        <v>AEP Ohio Transmission Company</v>
      </c>
      <c r="C1" s="1013"/>
      <c r="D1" s="1013"/>
      <c r="E1" s="1013"/>
      <c r="F1" s="1013"/>
      <c r="G1" s="1010"/>
      <c r="H1" s="1010"/>
      <c r="I1" s="1010"/>
      <c r="J1" s="1010"/>
      <c r="K1" s="1010"/>
      <c r="L1" s="1010"/>
      <c r="M1" s="1013"/>
      <c r="N1" s="1013"/>
      <c r="O1" s="1013"/>
      <c r="P1" s="1013"/>
      <c r="Q1" s="1013"/>
      <c r="R1" s="1013"/>
      <c r="S1" s="1010"/>
    </row>
    <row r="2" spans="1:19">
      <c r="A2" s="1028"/>
      <c r="B2" s="1012" t="s">
        <v>637</v>
      </c>
      <c r="C2" s="1013"/>
      <c r="D2" s="1013"/>
      <c r="E2" s="1013"/>
      <c r="F2" s="1013"/>
      <c r="G2" s="1010"/>
      <c r="H2" s="1010"/>
      <c r="I2" s="1010"/>
      <c r="J2" s="1010"/>
      <c r="K2" s="1010"/>
      <c r="L2" s="1010"/>
      <c r="M2" s="1013"/>
      <c r="N2" s="1013"/>
      <c r="O2" s="1013"/>
      <c r="P2" s="1013"/>
      <c r="Q2" s="1013"/>
      <c r="R2" s="1013"/>
      <c r="S2" s="1010"/>
    </row>
    <row r="3" spans="1:19">
      <c r="A3" s="1028"/>
      <c r="B3" s="1012" t="str">
        <f>"PERIOD ENDED DECEMBER 31, "&amp;TCOS!L4</f>
        <v>PERIOD ENDED DECEMBER 31, 2023</v>
      </c>
      <c r="C3" s="1013"/>
      <c r="D3" s="1013"/>
      <c r="E3" s="1013"/>
      <c r="F3" s="1013"/>
      <c r="G3" s="1013"/>
      <c r="H3" s="1013"/>
      <c r="I3" s="1013"/>
      <c r="J3" s="1013"/>
      <c r="K3" s="1013"/>
      <c r="L3" s="1013"/>
      <c r="M3" s="1013"/>
      <c r="N3" s="1013"/>
      <c r="O3" s="1013"/>
      <c r="P3" s="1013"/>
      <c r="Q3" s="1013"/>
      <c r="R3" s="1013"/>
      <c r="S3" s="1013"/>
    </row>
    <row r="4" spans="1:19">
      <c r="A4" s="1028"/>
      <c r="B4" s="1013"/>
      <c r="C4" s="1013"/>
      <c r="D4" s="1013"/>
      <c r="E4" s="1013"/>
      <c r="F4" s="1013"/>
      <c r="G4" s="1011" t="s">
        <v>638</v>
      </c>
      <c r="H4" s="1011"/>
      <c r="I4" s="1011"/>
      <c r="J4" s="1011"/>
      <c r="K4" s="1011"/>
      <c r="L4" s="1011"/>
      <c r="M4" s="1013"/>
      <c r="N4" s="1013"/>
      <c r="O4" s="1013"/>
      <c r="P4" s="1013"/>
      <c r="Q4" s="1013"/>
      <c r="R4" s="1013"/>
      <c r="S4" s="1013"/>
    </row>
    <row r="5" spans="1:19">
      <c r="A5" s="1028"/>
      <c r="B5" s="1014"/>
      <c r="C5" s="1013"/>
      <c r="D5" s="1013"/>
      <c r="E5" s="1013"/>
      <c r="F5" s="1013"/>
      <c r="G5" s="1013"/>
      <c r="H5" s="1013"/>
      <c r="I5" s="1013"/>
      <c r="J5" s="1013"/>
      <c r="K5" s="1013"/>
      <c r="L5" s="1013"/>
      <c r="M5" s="1013"/>
      <c r="N5" s="1013"/>
      <c r="O5" s="1013"/>
      <c r="P5" s="1013"/>
      <c r="Q5" s="1013"/>
      <c r="R5" s="1013"/>
      <c r="S5" s="1013"/>
    </row>
    <row r="6" spans="1:19">
      <c r="A6" s="1028"/>
      <c r="B6" s="1013"/>
      <c r="C6" s="1013"/>
      <c r="D6" s="1013"/>
      <c r="E6" s="1013"/>
      <c r="F6" s="1013"/>
      <c r="G6" s="1013"/>
      <c r="H6" s="1013"/>
      <c r="I6" s="1013"/>
      <c r="J6" s="1013"/>
      <c r="K6" s="1013"/>
      <c r="L6" s="1013"/>
      <c r="M6" s="1013"/>
      <c r="N6" s="1013"/>
      <c r="O6" s="1013"/>
      <c r="P6" s="1013"/>
      <c r="Q6" s="1013"/>
      <c r="R6" s="1013"/>
      <c r="S6" s="1013"/>
    </row>
    <row r="7" spans="1:19">
      <c r="A7" s="1028"/>
      <c r="B7" s="1013"/>
      <c r="C7" s="1013"/>
      <c r="D7" s="1013"/>
      <c r="E7" s="1013"/>
      <c r="F7" s="1013"/>
      <c r="G7" s="1013"/>
      <c r="H7" s="1013"/>
      <c r="I7" s="1013"/>
      <c r="J7" s="1013"/>
      <c r="K7" s="1013"/>
      <c r="L7" s="1013"/>
      <c r="M7" s="1013"/>
      <c r="N7" s="1013"/>
      <c r="O7" s="1013"/>
      <c r="P7" s="1013"/>
      <c r="Q7" s="1013"/>
      <c r="R7" s="1013"/>
      <c r="S7" s="1013"/>
    </row>
    <row r="8" spans="1:19">
      <c r="A8" s="1028"/>
      <c r="B8" s="1015" t="s">
        <v>639</v>
      </c>
      <c r="C8" s="1015" t="s">
        <v>640</v>
      </c>
      <c r="D8" s="1015" t="s">
        <v>641</v>
      </c>
      <c r="E8" s="1015" t="s">
        <v>642</v>
      </c>
      <c r="F8" s="1015" t="s">
        <v>643</v>
      </c>
      <c r="G8" s="1015" t="s">
        <v>644</v>
      </c>
      <c r="H8" s="1015"/>
      <c r="I8" s="1015" t="s">
        <v>645</v>
      </c>
      <c r="J8" s="1015" t="s">
        <v>646</v>
      </c>
      <c r="K8" s="1015" t="s">
        <v>647</v>
      </c>
      <c r="L8" s="1015"/>
      <c r="M8" s="1015" t="s">
        <v>648</v>
      </c>
      <c r="N8" s="1015" t="s">
        <v>649</v>
      </c>
      <c r="O8" s="1015" t="s">
        <v>650</v>
      </c>
      <c r="P8" s="1013"/>
      <c r="Q8" s="1015" t="s">
        <v>651</v>
      </c>
      <c r="R8" s="1015" t="s">
        <v>652</v>
      </c>
      <c r="S8" s="1015" t="s">
        <v>653</v>
      </c>
    </row>
    <row r="9" spans="1:19">
      <c r="A9" s="1028"/>
      <c r="B9" s="1013"/>
      <c r="C9" s="1013"/>
      <c r="D9" s="1013"/>
      <c r="E9" s="1013"/>
      <c r="F9" s="1013"/>
      <c r="G9" s="1013"/>
      <c r="H9" s="1013"/>
      <c r="I9" s="1013"/>
      <c r="J9" s="1013"/>
      <c r="K9" s="1013"/>
      <c r="L9" s="1013"/>
      <c r="M9" s="1013"/>
      <c r="N9" s="1013"/>
      <c r="O9" s="1013"/>
      <c r="P9" s="1013"/>
      <c r="Q9" s="1013"/>
      <c r="R9" s="1013"/>
      <c r="S9" s="1013"/>
    </row>
    <row r="10" spans="1:19">
      <c r="A10" s="1028"/>
      <c r="B10" s="1013"/>
      <c r="C10" s="1016" t="s">
        <v>654</v>
      </c>
      <c r="D10" s="1016"/>
      <c r="E10" s="1017" t="s">
        <v>655</v>
      </c>
      <c r="F10" s="1016"/>
      <c r="G10" s="1004" t="s">
        <v>656</v>
      </c>
      <c r="H10" s="1004"/>
      <c r="I10" s="1018" t="s">
        <v>657</v>
      </c>
      <c r="J10" s="1016"/>
      <c r="K10" s="1016"/>
      <c r="L10" s="1004"/>
      <c r="M10" s="1018" t="str">
        <f>"FUNCTIONALIZATION 12/31/"&amp;TCOS!L4-1</f>
        <v>FUNCTIONALIZATION 12/31/2022</v>
      </c>
      <c r="N10" s="1016"/>
      <c r="O10" s="1016"/>
      <c r="P10" s="1013"/>
      <c r="Q10" s="1018" t="str">
        <f>"FUNCTIONALIZATION 12/31/"&amp;TCOS!L4</f>
        <v>FUNCTIONALIZATION 12/31/2023</v>
      </c>
      <c r="R10" s="1016"/>
      <c r="S10" s="1016"/>
    </row>
    <row r="11" spans="1:19">
      <c r="A11" s="1028"/>
      <c r="B11" s="1013"/>
      <c r="C11" s="1019"/>
      <c r="D11" s="1019"/>
      <c r="E11" s="1013"/>
      <c r="F11" s="1013"/>
      <c r="G11" s="1004" t="s">
        <v>658</v>
      </c>
      <c r="H11" s="1004"/>
      <c r="I11" s="1019"/>
      <c r="J11" s="1019"/>
      <c r="K11" s="1019"/>
      <c r="L11" s="1004"/>
      <c r="M11" s="1019"/>
      <c r="N11" s="1019"/>
      <c r="O11" s="1019"/>
      <c r="P11" s="1013"/>
      <c r="Q11" s="1019"/>
      <c r="R11" s="1019"/>
      <c r="S11" s="1019"/>
    </row>
    <row r="12" spans="1:19" s="1045" customFormat="1">
      <c r="A12" s="1046"/>
      <c r="B12" s="1044"/>
      <c r="C12" s="1047" t="s">
        <v>659</v>
      </c>
      <c r="D12" s="1047" t="s">
        <v>659</v>
      </c>
      <c r="E12" s="1047" t="s">
        <v>659</v>
      </c>
      <c r="F12" s="1047" t="s">
        <v>659</v>
      </c>
      <c r="G12" s="1047" t="s">
        <v>660</v>
      </c>
      <c r="H12" s="1047"/>
      <c r="I12" s="1044"/>
      <c r="J12" s="1044"/>
      <c r="K12" s="1044"/>
      <c r="L12" s="1047"/>
      <c r="M12" s="1044"/>
      <c r="N12" s="1044"/>
      <c r="O12" s="1044"/>
      <c r="P12" s="1044"/>
      <c r="Q12" s="1044"/>
      <c r="R12" s="1044"/>
      <c r="S12" s="1044"/>
    </row>
    <row r="13" spans="1:19" s="1045" customFormat="1">
      <c r="A13" s="1046"/>
      <c r="B13" s="1048" t="s">
        <v>661</v>
      </c>
      <c r="C13" s="1048" t="str">
        <f>"OF 12-31-"&amp;TCOS!L4-1</f>
        <v>OF 12-31-2022</v>
      </c>
      <c r="D13" s="1048" t="str">
        <f>"OF 12-31-"&amp;TCOS!L4</f>
        <v>OF 12-31-2023</v>
      </c>
      <c r="E13" s="1048" t="str">
        <f>"OF 12-31-"&amp;TCOS!L4-1</f>
        <v>OF 12-31-2022</v>
      </c>
      <c r="F13" s="1048" t="str">
        <f>"OF 12-31-"&amp;TCOS!L4</f>
        <v>OF 12-31-2023</v>
      </c>
      <c r="G13" s="1048" t="s">
        <v>662</v>
      </c>
      <c r="H13" s="1048"/>
      <c r="I13" s="1048" t="s">
        <v>663</v>
      </c>
      <c r="J13" s="1048" t="s">
        <v>664</v>
      </c>
      <c r="K13" s="1048" t="s">
        <v>665</v>
      </c>
      <c r="L13" s="1048"/>
      <c r="M13" s="1048" t="s">
        <v>663</v>
      </c>
      <c r="N13" s="1048" t="s">
        <v>664</v>
      </c>
      <c r="O13" s="1048" t="s">
        <v>665</v>
      </c>
      <c r="P13" s="1044"/>
      <c r="Q13" s="1048" t="s">
        <v>663</v>
      </c>
      <c r="R13" s="1048" t="s">
        <v>664</v>
      </c>
      <c r="S13" s="1048" t="s">
        <v>665</v>
      </c>
    </row>
    <row r="14" spans="1:19">
      <c r="A14" s="1028"/>
      <c r="B14" s="1013"/>
      <c r="C14" s="1013"/>
      <c r="D14" s="1013"/>
      <c r="E14" s="1013"/>
      <c r="F14" s="1013"/>
      <c r="G14" s="1013"/>
      <c r="H14" s="1013"/>
      <c r="I14" s="1013"/>
      <c r="J14" s="1013"/>
      <c r="K14" s="1013"/>
      <c r="L14" s="1013"/>
      <c r="M14" s="1013"/>
      <c r="N14" s="1013"/>
      <c r="O14" s="1013"/>
      <c r="P14" s="1013"/>
      <c r="Q14" s="1013"/>
      <c r="R14" s="1013"/>
      <c r="S14" s="1013"/>
    </row>
    <row r="15" spans="1:19">
      <c r="A15" s="1043">
        <v>1</v>
      </c>
      <c r="B15" s="1009" t="s">
        <v>666</v>
      </c>
      <c r="C15" s="1021"/>
      <c r="D15" s="1021"/>
      <c r="E15" s="1021"/>
      <c r="F15" s="1022"/>
      <c r="G15" s="1021"/>
      <c r="H15" s="1021"/>
      <c r="I15" s="1021"/>
      <c r="J15" s="1021"/>
      <c r="K15" s="1021"/>
      <c r="L15" s="1021"/>
      <c r="M15" s="1021"/>
      <c r="N15" s="1021"/>
      <c r="O15" s="1021"/>
      <c r="P15" s="1021"/>
      <c r="Q15" s="1021"/>
      <c r="R15" s="1021"/>
      <c r="S15" s="1021"/>
    </row>
    <row r="16" spans="1:19">
      <c r="A16" s="1043">
        <v>2.0099999999999998</v>
      </c>
      <c r="B16" s="1009"/>
      <c r="C16" s="1021"/>
      <c r="D16" s="1021"/>
      <c r="E16" s="1021"/>
      <c r="F16" s="1021"/>
      <c r="G16" s="1021"/>
      <c r="H16" s="1021"/>
      <c r="I16" s="1021"/>
      <c r="J16" s="1021"/>
      <c r="K16" s="1021"/>
      <c r="L16" s="1021"/>
      <c r="M16" s="1021"/>
      <c r="N16" s="1021"/>
      <c r="O16" s="1021"/>
      <c r="P16" s="1021"/>
      <c r="Q16" s="1021"/>
      <c r="R16" s="1021"/>
      <c r="S16" s="1021"/>
    </row>
    <row r="17" spans="1:19">
      <c r="A17" s="1043">
        <v>2.02</v>
      </c>
      <c r="B17" s="1009" t="s">
        <v>867</v>
      </c>
      <c r="C17" s="1021">
        <f>SUM(M17:O17)</f>
        <v>0</v>
      </c>
      <c r="D17" s="1021">
        <f>SUM(Q17:S17)</f>
        <v>0</v>
      </c>
      <c r="E17" s="1021"/>
      <c r="F17" s="1021"/>
      <c r="G17" s="1021">
        <f>ROUND(SUM(C17:F17)/2,0)</f>
        <v>0</v>
      </c>
      <c r="H17" s="1021"/>
      <c r="I17" s="1021">
        <f>(M17+Q17)/2</f>
        <v>0</v>
      </c>
      <c r="J17" s="1021">
        <f>(N17+R17)/2</f>
        <v>0</v>
      </c>
      <c r="K17" s="1021">
        <f>(O17+S17)/2</f>
        <v>0</v>
      </c>
      <c r="L17" s="1021"/>
      <c r="M17" s="1009"/>
      <c r="N17" s="1009"/>
      <c r="O17" s="1009"/>
      <c r="P17" s="1021"/>
      <c r="Q17" s="1009"/>
      <c r="R17" s="1009"/>
      <c r="S17" s="1009"/>
    </row>
    <row r="18" spans="1:19">
      <c r="A18" s="1043">
        <v>2.0299999999999998</v>
      </c>
      <c r="B18" s="1009"/>
      <c r="C18" s="1021"/>
      <c r="D18" s="1021"/>
      <c r="E18" s="1021"/>
      <c r="F18" s="1021"/>
      <c r="G18" s="1021"/>
      <c r="H18" s="1021"/>
      <c r="I18" s="1021"/>
      <c r="J18" s="1021"/>
      <c r="K18" s="1021"/>
      <c r="L18" s="1021"/>
      <c r="M18" s="1021"/>
      <c r="N18" s="1021"/>
      <c r="O18" s="1021"/>
      <c r="P18" s="1021"/>
      <c r="Q18" s="1021"/>
      <c r="R18" s="1021"/>
      <c r="S18" s="1021"/>
    </row>
    <row r="19" spans="1:19">
      <c r="A19" s="1043">
        <v>2.04</v>
      </c>
      <c r="B19" s="1009" t="s">
        <v>868</v>
      </c>
      <c r="C19" s="1021">
        <v>0</v>
      </c>
      <c r="D19" s="1021">
        <v>0</v>
      </c>
      <c r="E19" s="1021">
        <f t="shared" ref="E19:F21" si="0">-C19</f>
        <v>0</v>
      </c>
      <c r="F19" s="1021">
        <f t="shared" si="0"/>
        <v>0</v>
      </c>
      <c r="G19" s="1021">
        <f>ROUND(SUM(C19:F19)/2,0)</f>
        <v>0</v>
      </c>
      <c r="H19" s="1021"/>
      <c r="I19" s="1021"/>
      <c r="J19" s="1021"/>
      <c r="K19" s="1021"/>
      <c r="L19" s="1021"/>
      <c r="M19" s="1021"/>
      <c r="N19" s="1021"/>
      <c r="O19" s="1021"/>
      <c r="P19" s="1021"/>
      <c r="Q19" s="1021"/>
      <c r="R19" s="1021"/>
      <c r="S19" s="1021"/>
    </row>
    <row r="20" spans="1:19">
      <c r="A20" s="1043">
        <v>2.0499999999999998</v>
      </c>
      <c r="B20" s="1009" t="s">
        <v>869</v>
      </c>
      <c r="C20" s="1021">
        <v>0</v>
      </c>
      <c r="D20" s="1021">
        <v>0</v>
      </c>
      <c r="E20" s="1021">
        <f t="shared" si="0"/>
        <v>0</v>
      </c>
      <c r="F20" s="1021">
        <f t="shared" si="0"/>
        <v>0</v>
      </c>
      <c r="G20" s="1021">
        <f>ROUND(SUM(C20:F20)/2,0)</f>
        <v>0</v>
      </c>
      <c r="H20" s="1021"/>
      <c r="I20" s="1021"/>
      <c r="J20" s="1021"/>
      <c r="K20" s="1021"/>
      <c r="L20" s="1021"/>
      <c r="M20" s="1021"/>
      <c r="N20" s="1021"/>
      <c r="O20" s="1021"/>
      <c r="P20" s="1021"/>
      <c r="Q20" s="1021"/>
      <c r="R20" s="1021"/>
      <c r="S20" s="1021"/>
    </row>
    <row r="21" spans="1:19">
      <c r="A21" s="1043">
        <v>2.06</v>
      </c>
      <c r="B21" s="1009" t="s">
        <v>870</v>
      </c>
      <c r="C21" s="1021">
        <v>0</v>
      </c>
      <c r="D21" s="1021">
        <v>0</v>
      </c>
      <c r="E21" s="1021">
        <f t="shared" si="0"/>
        <v>0</v>
      </c>
      <c r="F21" s="1021">
        <f t="shared" si="0"/>
        <v>0</v>
      </c>
      <c r="G21" s="1021">
        <f>ROUND(SUM(C21:F21)/2,0)</f>
        <v>0</v>
      </c>
      <c r="H21" s="1021"/>
      <c r="I21" s="1021"/>
      <c r="J21" s="1021"/>
      <c r="K21" s="1021"/>
      <c r="L21" s="1021"/>
      <c r="M21" s="1021"/>
      <c r="N21" s="1021"/>
      <c r="O21" s="1021"/>
      <c r="P21" s="1021"/>
      <c r="Q21" s="1021"/>
      <c r="R21" s="1021"/>
      <c r="S21" s="1021"/>
    </row>
    <row r="22" spans="1:19">
      <c r="A22" s="1029"/>
      <c r="B22" s="1013"/>
      <c r="C22" s="1021"/>
      <c r="D22" s="1021"/>
      <c r="E22" s="1021"/>
      <c r="F22" s="1021"/>
      <c r="G22" s="1021"/>
      <c r="H22" s="1021"/>
      <c r="I22" s="1021"/>
      <c r="J22" s="1021"/>
      <c r="K22" s="1021"/>
      <c r="L22" s="1021"/>
      <c r="M22" s="1021"/>
      <c r="N22" s="1021"/>
      <c r="O22" s="1021"/>
      <c r="P22" s="1021"/>
      <c r="Q22" s="1021"/>
      <c r="R22" s="1021"/>
      <c r="S22" s="1021"/>
    </row>
    <row r="23" spans="1:19" ht="13.5" thickBot="1">
      <c r="A23" s="1029">
        <v>3</v>
      </c>
      <c r="B23" s="1010" t="s">
        <v>667</v>
      </c>
      <c r="C23" s="1023">
        <f>SUM(C17:C22)</f>
        <v>0</v>
      </c>
      <c r="D23" s="1023">
        <f>SUM(D17:D22)</f>
        <v>0</v>
      </c>
      <c r="E23" s="1023">
        <f>SUM(E17:E22)</f>
        <v>0</v>
      </c>
      <c r="F23" s="1023">
        <f>SUM(F17:F22)</f>
        <v>0</v>
      </c>
      <c r="G23" s="1023">
        <f>SUM(G17:G22)</f>
        <v>0</v>
      </c>
      <c r="H23" s="1021"/>
      <c r="I23" s="1023">
        <f>SUM(I17:I22)</f>
        <v>0</v>
      </c>
      <c r="J23" s="1023">
        <f>SUM(J17:J22)</f>
        <v>0</v>
      </c>
      <c r="K23" s="1023">
        <f>SUM(K17:K22)</f>
        <v>0</v>
      </c>
      <c r="L23" s="1021"/>
      <c r="M23" s="1023">
        <f>SUM(M17:M22)</f>
        <v>0</v>
      </c>
      <c r="N23" s="1023">
        <f>SUM(N17:N22)</f>
        <v>0</v>
      </c>
      <c r="O23" s="1023">
        <f>SUM(O17:O22)</f>
        <v>0</v>
      </c>
      <c r="P23" s="1021"/>
      <c r="Q23" s="1023">
        <f>SUM(Q17:Q22)</f>
        <v>0</v>
      </c>
      <c r="R23" s="1023">
        <f>SUM(R17:R22)</f>
        <v>0</v>
      </c>
      <c r="S23" s="1023">
        <f>SUM(S17:S22)</f>
        <v>0</v>
      </c>
    </row>
    <row r="24" spans="1:19" ht="13.5" thickTop="1">
      <c r="A24" s="1029">
        <f>A23+1</f>
        <v>4</v>
      </c>
      <c r="B24" s="1013" t="s">
        <v>668</v>
      </c>
      <c r="C24" s="1040">
        <v>0</v>
      </c>
      <c r="D24" s="1040">
        <v>0</v>
      </c>
      <c r="E24" s="1040">
        <v>0</v>
      </c>
      <c r="F24" s="1040">
        <v>0</v>
      </c>
      <c r="G24" s="1040">
        <v>0</v>
      </c>
      <c r="H24" s="1041"/>
      <c r="I24" s="1040">
        <v>0</v>
      </c>
      <c r="J24" s="1040">
        <v>0</v>
      </c>
      <c r="K24" s="1040">
        <v>0</v>
      </c>
      <c r="L24" s="1041"/>
      <c r="M24" s="1040">
        <v>0</v>
      </c>
      <c r="N24" s="1040">
        <v>0</v>
      </c>
      <c r="O24" s="1040">
        <v>0</v>
      </c>
      <c r="P24" s="1041"/>
      <c r="Q24" s="1040">
        <v>0</v>
      </c>
      <c r="R24" s="1040">
        <v>0</v>
      </c>
      <c r="S24" s="1040">
        <v>0</v>
      </c>
    </row>
    <row r="25" spans="1:19">
      <c r="A25" s="1029"/>
      <c r="B25" s="1013"/>
      <c r="C25" s="1021"/>
      <c r="D25" s="1021"/>
      <c r="E25" s="1021"/>
      <c r="F25" s="1021"/>
      <c r="G25" s="1021"/>
      <c r="H25" s="1021"/>
      <c r="I25" s="1021"/>
      <c r="J25" s="1021"/>
      <c r="K25" s="1021"/>
      <c r="L25" s="1021"/>
      <c r="M25" s="1021"/>
      <c r="N25" s="1021"/>
      <c r="O25" s="1021"/>
      <c r="P25" s="1021"/>
      <c r="Q25" s="1021"/>
      <c r="R25" s="1021"/>
      <c r="S25" s="1021"/>
    </row>
    <row r="26" spans="1:19">
      <c r="A26" s="1029">
        <v>5</v>
      </c>
      <c r="B26" s="1010" t="s">
        <v>669</v>
      </c>
      <c r="C26" s="1021"/>
      <c r="D26" s="1021"/>
      <c r="E26" s="1021"/>
      <c r="F26" s="1021"/>
      <c r="G26" s="1021"/>
      <c r="H26" s="1021"/>
      <c r="I26" s="1021"/>
      <c r="J26" s="1021"/>
      <c r="K26" s="1021"/>
      <c r="L26" s="1021"/>
      <c r="M26" s="1021"/>
      <c r="N26" s="1021"/>
      <c r="O26" s="1021"/>
      <c r="P26" s="1021"/>
      <c r="Q26" s="1021"/>
      <c r="R26" s="1021"/>
      <c r="S26" s="1021"/>
    </row>
    <row r="27" spans="1:19">
      <c r="A27" s="1042"/>
      <c r="B27" s="1013"/>
      <c r="C27" s="1021"/>
      <c r="D27" s="1021"/>
      <c r="E27" s="1021"/>
      <c r="F27" s="1021"/>
      <c r="G27" s="1021"/>
      <c r="H27" s="1021"/>
      <c r="I27" s="1021"/>
      <c r="J27" s="1021"/>
      <c r="K27" s="1021"/>
      <c r="L27" s="1021"/>
      <c r="M27" s="1021"/>
      <c r="N27" s="1021"/>
      <c r="O27" s="1021"/>
      <c r="P27" s="1021"/>
      <c r="Q27" s="1021"/>
      <c r="R27" s="1021"/>
      <c r="S27" s="1021"/>
    </row>
    <row r="28" spans="1:19">
      <c r="A28" s="1043">
        <v>5.01</v>
      </c>
      <c r="B28" s="1009" t="s">
        <v>871</v>
      </c>
      <c r="C28" s="1021">
        <f t="shared" ref="C28:C34" si="1">SUM(M28:O28)</f>
        <v>397203065.91000003</v>
      </c>
      <c r="D28" s="1021">
        <f t="shared" ref="D28:D34" si="2">SUM(Q28:S28)</f>
        <v>423528310.38</v>
      </c>
      <c r="E28" s="1021"/>
      <c r="F28" s="1021"/>
      <c r="G28" s="1021">
        <f t="shared" ref="G28:G44" si="3">ROUND(SUM(C28:F28)/2,0)</f>
        <v>410365688</v>
      </c>
      <c r="H28" s="1021"/>
      <c r="I28" s="1021">
        <f t="shared" ref="I28:K44" si="4">(M28+Q28)/2</f>
        <v>0</v>
      </c>
      <c r="J28" s="1021">
        <f t="shared" si="4"/>
        <v>410365688.14499998</v>
      </c>
      <c r="K28" s="1021">
        <f t="shared" si="4"/>
        <v>0</v>
      </c>
      <c r="L28" s="1021"/>
      <c r="M28" s="1009"/>
      <c r="N28" s="1009">
        <v>397203065.91000003</v>
      </c>
      <c r="O28" s="1009"/>
      <c r="P28" s="1021"/>
      <c r="Q28" s="1009"/>
      <c r="R28" s="1009">
        <v>423528310.38</v>
      </c>
      <c r="S28" s="1009"/>
    </row>
    <row r="29" spans="1:19">
      <c r="A29" s="1043">
        <f t="shared" ref="A29:A49" si="5">A28+0.01</f>
        <v>5.0199999999999996</v>
      </c>
      <c r="B29" s="1009" t="s">
        <v>909</v>
      </c>
      <c r="C29" s="1021">
        <f t="shared" si="1"/>
        <v>0.09</v>
      </c>
      <c r="D29" s="1021">
        <f t="shared" si="2"/>
        <v>0.1</v>
      </c>
      <c r="E29" s="1021"/>
      <c r="F29" s="1021"/>
      <c r="G29" s="1021">
        <f>ROUND(SUM(C29:F29)/2,0)</f>
        <v>0</v>
      </c>
      <c r="H29" s="1021"/>
      <c r="I29" s="1021">
        <f t="shared" ref="I29:K33" si="6">(M29+Q29)/2</f>
        <v>0</v>
      </c>
      <c r="J29" s="1021">
        <f t="shared" si="6"/>
        <v>9.5000000000000001E-2</v>
      </c>
      <c r="K29" s="1021">
        <f t="shared" si="6"/>
        <v>0</v>
      </c>
      <c r="L29" s="1021"/>
      <c r="M29" s="1009"/>
      <c r="N29" s="1009">
        <v>0.09</v>
      </c>
      <c r="O29" s="1009"/>
      <c r="P29" s="1021"/>
      <c r="Q29" s="1009"/>
      <c r="R29" s="1009">
        <v>0.1</v>
      </c>
      <c r="S29" s="1009"/>
    </row>
    <row r="30" spans="1:19">
      <c r="A30" s="1043">
        <f t="shared" si="5"/>
        <v>5.0299999999999994</v>
      </c>
      <c r="B30" s="1009" t="s">
        <v>872</v>
      </c>
      <c r="C30" s="1021">
        <f t="shared" si="1"/>
        <v>46150.86</v>
      </c>
      <c r="D30" s="1021">
        <f t="shared" si="2"/>
        <v>46150.86</v>
      </c>
      <c r="E30" s="1021"/>
      <c r="F30" s="1021"/>
      <c r="G30" s="1021">
        <f>ROUND(SUM(C30:F30)/2,0)</f>
        <v>46151</v>
      </c>
      <c r="H30" s="1021"/>
      <c r="I30" s="1021">
        <f t="shared" si="6"/>
        <v>0</v>
      </c>
      <c r="J30" s="1021">
        <f t="shared" si="6"/>
        <v>46150.86</v>
      </c>
      <c r="K30" s="1021">
        <f t="shared" si="6"/>
        <v>0</v>
      </c>
      <c r="L30" s="1021"/>
      <c r="M30" s="1009"/>
      <c r="N30" s="1009">
        <v>46150.86</v>
      </c>
      <c r="O30" s="1009"/>
      <c r="P30" s="1021"/>
      <c r="Q30" s="1009"/>
      <c r="R30" s="1009">
        <v>46150.86</v>
      </c>
      <c r="S30" s="1009"/>
    </row>
    <row r="31" spans="1:19">
      <c r="A31" s="1043">
        <f t="shared" si="5"/>
        <v>5.0399999999999991</v>
      </c>
      <c r="B31" s="1009" t="s">
        <v>910</v>
      </c>
      <c r="C31" s="1021">
        <f t="shared" si="1"/>
        <v>0</v>
      </c>
      <c r="D31" s="1021">
        <f t="shared" si="2"/>
        <v>0</v>
      </c>
      <c r="E31" s="1021"/>
      <c r="F31" s="1021"/>
      <c r="G31" s="1021">
        <f>ROUND(SUM(C31:F31)/2,0)</f>
        <v>0</v>
      </c>
      <c r="H31" s="1021"/>
      <c r="I31" s="1021">
        <f t="shared" si="6"/>
        <v>0</v>
      </c>
      <c r="J31" s="1021">
        <f t="shared" si="6"/>
        <v>0</v>
      </c>
      <c r="K31" s="1021">
        <f t="shared" si="6"/>
        <v>0</v>
      </c>
      <c r="L31" s="1021"/>
      <c r="M31" s="1009"/>
      <c r="N31" s="1009">
        <v>0</v>
      </c>
      <c r="O31" s="1009"/>
      <c r="P31" s="1021"/>
      <c r="Q31" s="1009"/>
      <c r="R31" s="1009">
        <v>0</v>
      </c>
      <c r="S31" s="1009"/>
    </row>
    <row r="32" spans="1:19">
      <c r="A32" s="1043">
        <f t="shared" si="5"/>
        <v>5.0499999999999989</v>
      </c>
      <c r="B32" s="1009" t="s">
        <v>873</v>
      </c>
      <c r="C32" s="1021">
        <f t="shared" si="1"/>
        <v>25063.919999999998</v>
      </c>
      <c r="D32" s="1021">
        <f t="shared" si="2"/>
        <v>290643.78000000003</v>
      </c>
      <c r="E32" s="1021"/>
      <c r="F32" s="1021"/>
      <c r="G32" s="1021">
        <f>ROUND(SUM(C32:F32)/2,0)</f>
        <v>157854</v>
      </c>
      <c r="H32" s="1021"/>
      <c r="I32" s="1021">
        <f t="shared" si="6"/>
        <v>0</v>
      </c>
      <c r="J32" s="1021">
        <f t="shared" si="6"/>
        <v>157853.85</v>
      </c>
      <c r="K32" s="1021">
        <f t="shared" si="6"/>
        <v>0</v>
      </c>
      <c r="L32" s="1021"/>
      <c r="M32" s="1049"/>
      <c r="N32" s="1049">
        <v>25063.919999999998</v>
      </c>
      <c r="O32" s="1009"/>
      <c r="P32" s="1021"/>
      <c r="Q32" s="1049"/>
      <c r="R32" s="1049">
        <v>290643.78000000003</v>
      </c>
      <c r="S32" s="1009"/>
    </row>
    <row r="33" spans="1:19">
      <c r="A33" s="1043">
        <f t="shared" si="5"/>
        <v>5.0599999999999987</v>
      </c>
      <c r="B33" s="1009" t="s">
        <v>874</v>
      </c>
      <c r="C33" s="1021">
        <f t="shared" si="1"/>
        <v>16793449.84</v>
      </c>
      <c r="D33" s="1021">
        <f t="shared" si="2"/>
        <v>19146156.140000001</v>
      </c>
      <c r="E33" s="1021"/>
      <c r="F33" s="1021"/>
      <c r="G33" s="1021">
        <f>ROUND(SUM(C33:F33)/2,0)</f>
        <v>17969803</v>
      </c>
      <c r="H33" s="1021"/>
      <c r="I33" s="1021">
        <f t="shared" si="6"/>
        <v>0</v>
      </c>
      <c r="J33" s="1021">
        <f t="shared" si="6"/>
        <v>17969802.990000002</v>
      </c>
      <c r="K33" s="1021">
        <f t="shared" si="6"/>
        <v>0</v>
      </c>
      <c r="L33" s="1021"/>
      <c r="M33" s="1009"/>
      <c r="N33" s="1009">
        <v>16793449.84</v>
      </c>
      <c r="O33" s="1009"/>
      <c r="P33" s="1021"/>
      <c r="Q33" s="1009"/>
      <c r="R33" s="1009">
        <v>19146156.140000001</v>
      </c>
      <c r="S33" s="1009"/>
    </row>
    <row r="34" spans="1:19">
      <c r="A34" s="1043">
        <f t="shared" si="5"/>
        <v>5.0699999999999985</v>
      </c>
      <c r="B34" s="1009" t="s">
        <v>875</v>
      </c>
      <c r="C34" s="1021">
        <f t="shared" si="1"/>
        <v>-34734997.520000003</v>
      </c>
      <c r="D34" s="1021">
        <f t="shared" si="2"/>
        <v>-39454091.890000001</v>
      </c>
      <c r="E34" s="1021"/>
      <c r="F34" s="1021"/>
      <c r="G34" s="1021">
        <f t="shared" si="3"/>
        <v>-37094545</v>
      </c>
      <c r="H34" s="1021"/>
      <c r="I34" s="1021">
        <f t="shared" si="4"/>
        <v>0</v>
      </c>
      <c r="J34" s="1021">
        <f t="shared" si="4"/>
        <v>-37094544.704999998</v>
      </c>
      <c r="K34" s="1021">
        <f t="shared" si="4"/>
        <v>0</v>
      </c>
      <c r="L34" s="1021"/>
      <c r="M34" s="1009"/>
      <c r="N34" s="1009">
        <v>-34734997.520000003</v>
      </c>
      <c r="O34" s="1009"/>
      <c r="P34" s="1021"/>
      <c r="Q34" s="1009"/>
      <c r="R34" s="1009">
        <v>-39454091.890000001</v>
      </c>
      <c r="S34" s="1009"/>
    </row>
    <row r="35" spans="1:19">
      <c r="A35" s="1043">
        <f t="shared" si="5"/>
        <v>5.0799999999999983</v>
      </c>
      <c r="B35" s="1009" t="s">
        <v>876</v>
      </c>
      <c r="C35" s="1021">
        <f t="shared" ref="C35:C43" si="7">SUM(M35:O35)</f>
        <v>-2298870.54</v>
      </c>
      <c r="D35" s="1021">
        <f t="shared" ref="D35:D43" si="8">SUM(Q35:S35)</f>
        <v>-2298870.54</v>
      </c>
      <c r="E35" s="1021"/>
      <c r="F35" s="1021"/>
      <c r="G35" s="1021">
        <f t="shared" si="3"/>
        <v>-2298871</v>
      </c>
      <c r="H35" s="1021"/>
      <c r="I35" s="1021">
        <f t="shared" si="4"/>
        <v>0</v>
      </c>
      <c r="J35" s="1021">
        <f t="shared" si="4"/>
        <v>-2298870.54</v>
      </c>
      <c r="K35" s="1021">
        <f t="shared" si="4"/>
        <v>0</v>
      </c>
      <c r="L35" s="1021"/>
      <c r="M35" s="1009"/>
      <c r="N35" s="1009">
        <v>-2298870.54</v>
      </c>
      <c r="O35" s="1009"/>
      <c r="P35" s="1021"/>
      <c r="Q35" s="1009"/>
      <c r="R35" s="1009">
        <v>-2298870.54</v>
      </c>
      <c r="S35" s="1009"/>
    </row>
    <row r="36" spans="1:19">
      <c r="A36" s="1043">
        <f t="shared" si="5"/>
        <v>5.0899999999999981</v>
      </c>
      <c r="B36" s="1009" t="s">
        <v>877</v>
      </c>
      <c r="C36" s="1021">
        <f t="shared" si="7"/>
        <v>12892960.880000001</v>
      </c>
      <c r="D36" s="1021">
        <f t="shared" si="8"/>
        <v>13305495.800000001</v>
      </c>
      <c r="E36" s="1021"/>
      <c r="F36" s="1021"/>
      <c r="G36" s="1021">
        <f t="shared" si="3"/>
        <v>13099228</v>
      </c>
      <c r="H36" s="1021"/>
      <c r="I36" s="1021">
        <f t="shared" si="4"/>
        <v>0</v>
      </c>
      <c r="J36" s="1021">
        <f t="shared" si="4"/>
        <v>13099228.34</v>
      </c>
      <c r="K36" s="1021">
        <f t="shared" si="4"/>
        <v>0</v>
      </c>
      <c r="L36" s="1021"/>
      <c r="M36" s="1049"/>
      <c r="N36" s="1049">
        <v>12892960.880000001</v>
      </c>
      <c r="O36" s="1009"/>
      <c r="P36" s="1021"/>
      <c r="Q36" s="1049"/>
      <c r="R36" s="1009">
        <v>13305495.800000001</v>
      </c>
      <c r="S36" s="1009"/>
    </row>
    <row r="37" spans="1:19">
      <c r="A37" s="1043">
        <f t="shared" si="5"/>
        <v>5.0999999999999979</v>
      </c>
      <c r="B37" s="1009" t="s">
        <v>878</v>
      </c>
      <c r="C37" s="1021">
        <f t="shared" si="7"/>
        <v>32057.55</v>
      </c>
      <c r="D37" s="1021">
        <f t="shared" si="8"/>
        <v>32057.55</v>
      </c>
      <c r="E37" s="1021"/>
      <c r="F37" s="1021"/>
      <c r="G37" s="1021">
        <f t="shared" si="3"/>
        <v>32058</v>
      </c>
      <c r="H37" s="1021"/>
      <c r="I37" s="1021">
        <f t="shared" si="4"/>
        <v>0</v>
      </c>
      <c r="J37" s="1021">
        <f t="shared" si="4"/>
        <v>32057.55</v>
      </c>
      <c r="K37" s="1021">
        <f t="shared" si="4"/>
        <v>0</v>
      </c>
      <c r="L37" s="1021"/>
      <c r="M37" s="1009"/>
      <c r="N37" s="1009">
        <v>32057.55</v>
      </c>
      <c r="O37" s="1009"/>
      <c r="P37" s="1021"/>
      <c r="Q37" s="1009"/>
      <c r="R37" s="1009">
        <v>32057.55</v>
      </c>
      <c r="S37" s="1009"/>
    </row>
    <row r="38" spans="1:19">
      <c r="A38" s="1043">
        <f t="shared" si="5"/>
        <v>5.1099999999999977</v>
      </c>
      <c r="B38" s="1009" t="s">
        <v>879</v>
      </c>
      <c r="C38" s="1021">
        <f>SUM(M38:O38)</f>
        <v>219267.72</v>
      </c>
      <c r="D38" s="1021">
        <f t="shared" si="8"/>
        <v>219267.72</v>
      </c>
      <c r="E38" s="1021"/>
      <c r="F38" s="1021"/>
      <c r="G38" s="1021">
        <f>ROUND(SUM(C38:F38)/2,0)</f>
        <v>219268</v>
      </c>
      <c r="H38" s="1021"/>
      <c r="I38" s="1021">
        <f t="shared" si="4"/>
        <v>0</v>
      </c>
      <c r="J38" s="1021">
        <f t="shared" si="4"/>
        <v>219267.72</v>
      </c>
      <c r="K38" s="1021">
        <f t="shared" si="4"/>
        <v>0</v>
      </c>
      <c r="L38" s="1021"/>
      <c r="M38" s="1009"/>
      <c r="N38" s="1009">
        <v>219267.72</v>
      </c>
      <c r="O38" s="1009"/>
      <c r="P38" s="1021"/>
      <c r="Q38" s="1009"/>
      <c r="R38" s="1009">
        <v>219267.72</v>
      </c>
      <c r="S38" s="1009"/>
    </row>
    <row r="39" spans="1:19">
      <c r="A39" s="1043">
        <f t="shared" si="5"/>
        <v>5.1199999999999974</v>
      </c>
      <c r="B39" s="1009" t="s">
        <v>976</v>
      </c>
      <c r="C39" s="1021">
        <f>SUM(M39:O39)</f>
        <v>102709.63</v>
      </c>
      <c r="D39" s="1021">
        <f>SUM(Q39:S39)</f>
        <v>107250.93000000001</v>
      </c>
      <c r="E39" s="1021"/>
      <c r="F39" s="1021"/>
      <c r="G39" s="1021">
        <f>ROUND(SUM(C39:F39)/2,0)</f>
        <v>104980</v>
      </c>
      <c r="H39" s="1021"/>
      <c r="I39" s="1021">
        <f>(M39+Q39)/2</f>
        <v>0</v>
      </c>
      <c r="J39" s="1021">
        <f>(N39+R39)/2</f>
        <v>104980.28</v>
      </c>
      <c r="K39" s="1021">
        <f>(O39+S39)/2</f>
        <v>0</v>
      </c>
      <c r="L39" s="1021"/>
      <c r="M39" s="1009"/>
      <c r="N39" s="1009">
        <v>102709.63</v>
      </c>
      <c r="O39" s="1009"/>
      <c r="P39" s="1021"/>
      <c r="Q39" s="1009"/>
      <c r="R39" s="1009">
        <v>107250.93000000001</v>
      </c>
      <c r="S39" s="1009"/>
    </row>
    <row r="40" spans="1:19">
      <c r="A40" s="1043">
        <f t="shared" si="5"/>
        <v>5.1299999999999972</v>
      </c>
      <c r="B40" s="1009" t="s">
        <v>880</v>
      </c>
      <c r="C40" s="1021">
        <f t="shared" si="7"/>
        <v>3509562.45</v>
      </c>
      <c r="D40" s="1021">
        <f t="shared" si="8"/>
        <v>2684670.67</v>
      </c>
      <c r="E40" s="1021"/>
      <c r="F40" s="1021"/>
      <c r="G40" s="1021">
        <f t="shared" si="3"/>
        <v>3097117</v>
      </c>
      <c r="H40" s="1021"/>
      <c r="I40" s="1021">
        <f t="shared" si="4"/>
        <v>0</v>
      </c>
      <c r="J40" s="1021">
        <f t="shared" si="4"/>
        <v>3097116.56</v>
      </c>
      <c r="K40" s="1021">
        <f t="shared" si="4"/>
        <v>0</v>
      </c>
      <c r="L40" s="1021"/>
      <c r="M40" s="1009"/>
      <c r="N40" s="1009">
        <v>3509562.45</v>
      </c>
      <c r="O40" s="1009"/>
      <c r="P40" s="1021"/>
      <c r="Q40" s="1009"/>
      <c r="R40" s="1009">
        <v>2684670.67</v>
      </c>
      <c r="S40" s="1009"/>
    </row>
    <row r="41" spans="1:19">
      <c r="A41" s="1043">
        <f t="shared" si="5"/>
        <v>5.139999999999997</v>
      </c>
      <c r="B41" s="1009" t="s">
        <v>977</v>
      </c>
      <c r="C41" s="1021">
        <f>SUM(M41:O41)</f>
        <v>-96743.78</v>
      </c>
      <c r="D41" s="1021">
        <f>SUM(Q41:S41)</f>
        <v>-143267.39000000001</v>
      </c>
      <c r="E41" s="1021"/>
      <c r="F41" s="1021"/>
      <c r="G41" s="1021">
        <f>ROUND(SUM(C41:F41)/2,0)</f>
        <v>-120006</v>
      </c>
      <c r="H41" s="1021"/>
      <c r="I41" s="1021">
        <f>(M41+Q41)/2</f>
        <v>0</v>
      </c>
      <c r="J41" s="1021">
        <f>(N41+R41)/2</f>
        <v>-120005.58500000001</v>
      </c>
      <c r="K41" s="1021">
        <f>(O41+S41)/2</f>
        <v>0</v>
      </c>
      <c r="L41" s="1021"/>
      <c r="M41" s="1009"/>
      <c r="N41" s="1009">
        <v>-96743.78</v>
      </c>
      <c r="O41" s="1009"/>
      <c r="P41" s="1021"/>
      <c r="Q41" s="1009"/>
      <c r="R41" s="1009">
        <v>-143267.39000000001</v>
      </c>
      <c r="S41" s="1009"/>
    </row>
    <row r="42" spans="1:19">
      <c r="A42" s="1043">
        <f t="shared" si="5"/>
        <v>5.1499999999999968</v>
      </c>
      <c r="B42" s="1009" t="s">
        <v>881</v>
      </c>
      <c r="C42" s="1021">
        <f t="shared" si="7"/>
        <v>482120.73</v>
      </c>
      <c r="D42" s="1021">
        <f t="shared" si="8"/>
        <v>325448.76</v>
      </c>
      <c r="E42" s="1021"/>
      <c r="F42" s="1021"/>
      <c r="G42" s="1021">
        <f t="shared" si="3"/>
        <v>403785</v>
      </c>
      <c r="H42" s="1021"/>
      <c r="I42" s="1021">
        <f t="shared" si="4"/>
        <v>0</v>
      </c>
      <c r="J42" s="1021">
        <f t="shared" si="4"/>
        <v>403784.745</v>
      </c>
      <c r="K42" s="1021">
        <f t="shared" si="4"/>
        <v>0</v>
      </c>
      <c r="L42" s="1021"/>
      <c r="M42" s="1009"/>
      <c r="N42" s="1009">
        <v>482120.73</v>
      </c>
      <c r="O42" s="1009"/>
      <c r="P42" s="1021"/>
      <c r="Q42" s="1009"/>
      <c r="R42" s="1009">
        <v>325448.76</v>
      </c>
      <c r="S42" s="1009"/>
    </row>
    <row r="43" spans="1:19">
      <c r="A43" s="1043">
        <f t="shared" si="5"/>
        <v>5.1599999999999966</v>
      </c>
      <c r="B43" s="1009" t="s">
        <v>882</v>
      </c>
      <c r="C43" s="1021">
        <f t="shared" si="7"/>
        <v>171901728</v>
      </c>
      <c r="D43" s="1021">
        <f t="shared" si="8"/>
        <v>171444861</v>
      </c>
      <c r="E43" s="1021"/>
      <c r="F43" s="1021"/>
      <c r="G43" s="1021">
        <f t="shared" si="3"/>
        <v>171673295</v>
      </c>
      <c r="H43" s="1021"/>
      <c r="I43" s="1021">
        <f t="shared" si="4"/>
        <v>0</v>
      </c>
      <c r="J43" s="1021">
        <f t="shared" si="4"/>
        <v>171673294.5</v>
      </c>
      <c r="K43" s="1021">
        <f t="shared" si="4"/>
        <v>0</v>
      </c>
      <c r="L43" s="1021"/>
      <c r="M43" s="1009"/>
      <c r="N43" s="1009">
        <v>171901728</v>
      </c>
      <c r="O43" s="1009"/>
      <c r="P43" s="1021"/>
      <c r="Q43" s="1009"/>
      <c r="R43" s="1009">
        <v>171444861</v>
      </c>
      <c r="S43" s="1009"/>
    </row>
    <row r="44" spans="1:19">
      <c r="A44" s="1043">
        <f t="shared" si="5"/>
        <v>5.1699999999999964</v>
      </c>
      <c r="B44" s="1009" t="s">
        <v>883</v>
      </c>
      <c r="C44" s="1021">
        <f>SUM(M44:O44)</f>
        <v>-1239494.79</v>
      </c>
      <c r="D44" s="1021">
        <f>SUM(Q44:S44)</f>
        <v>-991595.79</v>
      </c>
      <c r="E44" s="1021"/>
      <c r="F44" s="1021"/>
      <c r="G44" s="1021">
        <f t="shared" si="3"/>
        <v>-1115545</v>
      </c>
      <c r="H44" s="1021"/>
      <c r="I44" s="1021">
        <f t="shared" si="4"/>
        <v>0</v>
      </c>
      <c r="J44" s="1021">
        <f t="shared" si="4"/>
        <v>-1115545.29</v>
      </c>
      <c r="K44" s="1021">
        <f t="shared" si="4"/>
        <v>0</v>
      </c>
      <c r="L44" s="1021"/>
      <c r="M44" s="1009"/>
      <c r="N44" s="1009">
        <v>-1239494.79</v>
      </c>
      <c r="O44" s="1009"/>
      <c r="P44" s="1021"/>
      <c r="Q44" s="1009"/>
      <c r="R44" s="1009">
        <v>-991595.79</v>
      </c>
      <c r="S44" s="1009"/>
    </row>
    <row r="45" spans="1:19">
      <c r="A45" s="1043">
        <f t="shared" si="5"/>
        <v>5.1799999999999962</v>
      </c>
      <c r="B45" s="1410" t="s">
        <v>999</v>
      </c>
      <c r="C45" s="1410">
        <f>SUM(M45:O45)</f>
        <v>-102359440.16451961</v>
      </c>
      <c r="D45" s="1410">
        <f>SUM(Q45:S45)</f>
        <v>-102079382.40834557</v>
      </c>
      <c r="E45" s="1411"/>
      <c r="F45" s="1411"/>
      <c r="G45" s="1412">
        <f>ROUND(SUM(C45:F45)/2,0)</f>
        <v>-102219411</v>
      </c>
      <c r="H45" s="1412"/>
      <c r="I45" s="1412">
        <f>(M45+Q45)/2</f>
        <v>0</v>
      </c>
      <c r="J45" s="1412">
        <f>(N45+R45)/2</f>
        <v>-102219411.28643259</v>
      </c>
      <c r="K45" s="1412">
        <f>(O45+S45)/2</f>
        <v>0</v>
      </c>
      <c r="L45" s="1021"/>
      <c r="M45" s="1009"/>
      <c r="N45" s="1009">
        <v>-102359440.16451961</v>
      </c>
      <c r="O45" s="1009"/>
      <c r="P45" s="1021"/>
      <c r="Q45" s="1009"/>
      <c r="R45" s="1009">
        <v>-102079382.40834557</v>
      </c>
      <c r="S45" s="1009"/>
    </row>
    <row r="46" spans="1:19">
      <c r="A46" s="1043">
        <f t="shared" si="5"/>
        <v>5.1899999999999959</v>
      </c>
      <c r="B46" s="1410" t="s">
        <v>1000</v>
      </c>
      <c r="C46" s="1410">
        <f>-E46</f>
        <v>102359440.16451961</v>
      </c>
      <c r="D46" s="1410">
        <f>-F46</f>
        <v>102079382.40834557</v>
      </c>
      <c r="E46" s="1411">
        <f>C45</f>
        <v>-102359440.16451961</v>
      </c>
      <c r="F46" s="1411">
        <f>D45</f>
        <v>-102079382.40834557</v>
      </c>
      <c r="G46" s="1412">
        <f>ROUND(SUM(C46:F46)/2,0)</f>
        <v>0</v>
      </c>
      <c r="H46" s="1412"/>
      <c r="I46" s="1021"/>
      <c r="J46" s="1021"/>
      <c r="K46" s="1021"/>
      <c r="L46" s="1021"/>
      <c r="M46" s="1009"/>
      <c r="N46" s="1009"/>
      <c r="O46" s="1009"/>
      <c r="P46" s="1021"/>
      <c r="Q46" s="1009"/>
      <c r="R46" s="1009"/>
      <c r="S46" s="1009"/>
    </row>
    <row r="47" spans="1:19">
      <c r="A47" s="1043">
        <f t="shared" si="5"/>
        <v>5.1999999999999957</v>
      </c>
      <c r="B47" s="1009" t="s">
        <v>884</v>
      </c>
      <c r="C47" s="1009">
        <f t="shared" ref="C47:D49" si="9">-E47</f>
        <v>0</v>
      </c>
      <c r="D47" s="1009">
        <f t="shared" si="9"/>
        <v>0</v>
      </c>
      <c r="E47" s="1021">
        <v>0</v>
      </c>
      <c r="F47" s="1021">
        <v>0</v>
      </c>
      <c r="G47" s="1021">
        <f>ROUND(SUM(C47:F47)/2,0)</f>
        <v>0</v>
      </c>
      <c r="H47" s="1021"/>
      <c r="I47" s="1021"/>
      <c r="J47" s="1021"/>
      <c r="K47" s="1021"/>
      <c r="L47" s="1021"/>
      <c r="M47" s="1021"/>
      <c r="N47" s="1021"/>
      <c r="O47" s="1021"/>
      <c r="P47" s="1021"/>
      <c r="Q47" s="1021"/>
      <c r="R47" s="1021"/>
      <c r="S47" s="1021"/>
    </row>
    <row r="48" spans="1:19">
      <c r="A48" s="1043">
        <f t="shared" si="5"/>
        <v>5.2099999999999955</v>
      </c>
      <c r="B48" s="1009" t="s">
        <v>885</v>
      </c>
      <c r="C48" s="1009">
        <f t="shared" si="9"/>
        <v>47176878.82</v>
      </c>
      <c r="D48" s="1009">
        <f t="shared" si="9"/>
        <v>52573741.520000003</v>
      </c>
      <c r="E48" s="1021">
        <v>-47176878.82</v>
      </c>
      <c r="F48" s="1021">
        <v>-52573741.520000003</v>
      </c>
      <c r="G48" s="1021">
        <f>ROUND(SUM(C48:F48)/2,0)</f>
        <v>0</v>
      </c>
      <c r="H48" s="1021"/>
      <c r="I48" s="1021"/>
      <c r="J48" s="1021"/>
      <c r="K48" s="1021"/>
      <c r="L48" s="1021"/>
      <c r="M48" s="1021"/>
      <c r="N48" s="1021"/>
      <c r="O48" s="1021"/>
      <c r="P48" s="1021"/>
      <c r="Q48" s="1021"/>
      <c r="R48" s="1021"/>
      <c r="S48" s="1021"/>
    </row>
    <row r="49" spans="1:19">
      <c r="A49" s="1043">
        <f t="shared" si="5"/>
        <v>5.2199999999999953</v>
      </c>
      <c r="B49" s="1009" t="s">
        <v>886</v>
      </c>
      <c r="C49" s="1009">
        <f t="shared" si="9"/>
        <v>-170662233.21000001</v>
      </c>
      <c r="D49" s="1009">
        <f t="shared" si="9"/>
        <v>-170453265.21000001</v>
      </c>
      <c r="E49" s="1021">
        <v>170662233.21000001</v>
      </c>
      <c r="F49" s="1021">
        <v>170453265.21000001</v>
      </c>
      <c r="G49" s="1021">
        <f>ROUND(SUM(C49:F49)/2,0)</f>
        <v>0</v>
      </c>
      <c r="H49" s="1021"/>
      <c r="I49" s="1021"/>
      <c r="J49" s="1021"/>
      <c r="K49" s="1021"/>
      <c r="L49" s="1021"/>
      <c r="M49" s="1021"/>
      <c r="N49" s="1021"/>
      <c r="O49" s="1021"/>
      <c r="P49" s="1021"/>
      <c r="Q49" s="1021"/>
      <c r="R49" s="1021"/>
      <c r="S49" s="1021"/>
    </row>
    <row r="50" spans="1:19">
      <c r="A50" s="1002"/>
    </row>
    <row r="51" spans="1:19">
      <c r="A51" s="1029"/>
      <c r="B51" s="1013"/>
      <c r="C51" s="1021"/>
      <c r="D51" s="1021"/>
      <c r="E51" s="1021"/>
      <c r="F51" s="1021"/>
      <c r="G51" s="1021"/>
      <c r="H51" s="1021"/>
      <c r="I51" s="1021"/>
      <c r="J51" s="1021"/>
      <c r="K51" s="1021"/>
      <c r="L51" s="1021"/>
      <c r="M51" s="1021"/>
      <c r="N51" s="1021"/>
      <c r="O51" s="1021"/>
      <c r="P51" s="1021"/>
      <c r="Q51" s="1021"/>
      <c r="R51" s="1021"/>
      <c r="S51" s="1021"/>
    </row>
    <row r="52" spans="1:19" ht="13.5" thickBot="1">
      <c r="A52" s="1029">
        <v>6</v>
      </c>
      <c r="B52" s="1010" t="s">
        <v>670</v>
      </c>
      <c r="C52" s="1023">
        <f>SUM(C28:C51)</f>
        <v>441352676.56000006</v>
      </c>
      <c r="D52" s="1023">
        <f>SUM(D28:D51)</f>
        <v>470362964.3900001</v>
      </c>
      <c r="E52" s="1023">
        <f>SUM(E28:E51)</f>
        <v>21125914.225480407</v>
      </c>
      <c r="F52" s="1023">
        <f>SUM(F28:F51)</f>
        <v>15800141.281654447</v>
      </c>
      <c r="G52" s="1023">
        <f>SUM(G28:G51)</f>
        <v>474320849</v>
      </c>
      <c r="H52" s="1021"/>
      <c r="I52" s="1023">
        <f>SUM(I28:I51)</f>
        <v>0</v>
      </c>
      <c r="J52" s="1023">
        <f>SUM(J28:J51)</f>
        <v>474320848.22856748</v>
      </c>
      <c r="K52" s="1023">
        <f>SUM(K28:K51)</f>
        <v>0</v>
      </c>
      <c r="L52" s="1021"/>
      <c r="M52" s="1023">
        <f>SUM(M28:M51)</f>
        <v>0</v>
      </c>
      <c r="N52" s="1023">
        <f>SUM(N28:N51)</f>
        <v>462478590.78548044</v>
      </c>
      <c r="O52" s="1023">
        <f>SUM(O28:O51)</f>
        <v>0</v>
      </c>
      <c r="P52" s="1021"/>
      <c r="Q52" s="1023">
        <f>SUM(Q28:Q51)</f>
        <v>0</v>
      </c>
      <c r="R52" s="1023">
        <f>SUM(R28:R51)</f>
        <v>486163105.67165458</v>
      </c>
      <c r="S52" s="1023">
        <f>SUM(S28:S51)</f>
        <v>0</v>
      </c>
    </row>
    <row r="53" spans="1:19" ht="13.5" thickTop="1">
      <c r="A53" s="1029">
        <f>A52+1</f>
        <v>7</v>
      </c>
      <c r="B53" s="1013" t="s">
        <v>671</v>
      </c>
      <c r="C53" s="1024">
        <v>0</v>
      </c>
      <c r="D53" s="1024">
        <v>0</v>
      </c>
      <c r="E53" s="1024">
        <v>0</v>
      </c>
      <c r="F53" s="1024">
        <v>0</v>
      </c>
      <c r="G53" s="1024">
        <v>0</v>
      </c>
      <c r="H53" s="1021"/>
      <c r="I53" s="1024">
        <v>0</v>
      </c>
      <c r="J53" s="1024">
        <v>0</v>
      </c>
      <c r="K53" s="1024">
        <v>0</v>
      </c>
      <c r="L53" s="1024"/>
      <c r="M53" s="1024">
        <v>0</v>
      </c>
      <c r="N53" s="1024">
        <v>0</v>
      </c>
      <c r="O53" s="1024">
        <v>0</v>
      </c>
      <c r="P53" s="1021"/>
      <c r="Q53" s="1024">
        <v>0</v>
      </c>
      <c r="R53" s="1024">
        <v>0</v>
      </c>
      <c r="S53" s="1024">
        <v>0</v>
      </c>
    </row>
    <row r="54" spans="1:19">
      <c r="A54" s="1029"/>
      <c r="B54" s="1010"/>
      <c r="C54" s="1021"/>
      <c r="D54" s="1025"/>
      <c r="E54" s="1021"/>
      <c r="F54" s="1021"/>
      <c r="G54" s="1021"/>
      <c r="H54" s="1021"/>
      <c r="I54" s="1021"/>
      <c r="J54" s="1021"/>
      <c r="K54" s="1021"/>
      <c r="L54" s="1021"/>
      <c r="M54" s="1021"/>
      <c r="N54" s="1021"/>
      <c r="O54" s="1021"/>
      <c r="P54" s="1021"/>
      <c r="Q54" s="1021"/>
      <c r="R54" s="1021"/>
      <c r="S54" s="1021"/>
    </row>
    <row r="55" spans="1:19">
      <c r="A55" s="1029">
        <v>8</v>
      </c>
      <c r="B55" s="1007" t="s">
        <v>672</v>
      </c>
      <c r="C55" s="1021" t="s">
        <v>408</v>
      </c>
      <c r="D55" s="1021"/>
      <c r="E55" s="1021"/>
      <c r="F55" s="1021"/>
      <c r="G55" s="1021"/>
      <c r="H55" s="1021"/>
      <c r="I55" s="1021"/>
      <c r="J55" s="1021"/>
      <c r="K55" s="1021"/>
      <c r="L55" s="1021"/>
      <c r="M55" s="1021"/>
      <c r="N55" s="1021"/>
      <c r="O55" s="1021"/>
      <c r="P55" s="1021"/>
      <c r="Q55" s="1021"/>
      <c r="R55" s="1021"/>
      <c r="S55" s="1021"/>
    </row>
    <row r="56" spans="1:19">
      <c r="A56" s="1029"/>
      <c r="B56" s="1013"/>
      <c r="C56" s="1021"/>
      <c r="D56" s="1021"/>
      <c r="E56" s="1021"/>
      <c r="F56" s="1021"/>
      <c r="G56" s="1021"/>
      <c r="H56" s="1021"/>
      <c r="I56" s="1021"/>
      <c r="J56" s="1021"/>
      <c r="K56" s="1021"/>
      <c r="L56" s="1021"/>
      <c r="M56" s="1021"/>
      <c r="N56" s="1021"/>
      <c r="O56" s="1021"/>
      <c r="P56" s="1021"/>
      <c r="Q56" s="1021"/>
      <c r="R56" s="1021"/>
      <c r="S56" s="1021"/>
    </row>
    <row r="57" spans="1:19">
      <c r="A57" s="1043">
        <v>9.01</v>
      </c>
      <c r="B57" s="1009" t="s">
        <v>887</v>
      </c>
      <c r="C57" s="1021">
        <f t="shared" ref="C57:C62" si="10">SUM(M57:O57)</f>
        <v>0</v>
      </c>
      <c r="D57" s="1021">
        <f t="shared" ref="D57:D62" si="11">SUM(Q57:S57)</f>
        <v>0</v>
      </c>
      <c r="E57" s="1021"/>
      <c r="F57" s="1021"/>
      <c r="G57" s="1021">
        <f t="shared" ref="G57:G68" si="12">ROUND(SUM(C57:F57)/2,0)</f>
        <v>0</v>
      </c>
      <c r="H57" s="1021"/>
      <c r="I57" s="1021">
        <f t="shared" ref="I57:K60" si="13">(M57+Q57)/2</f>
        <v>0</v>
      </c>
      <c r="J57" s="1021">
        <f t="shared" si="13"/>
        <v>0</v>
      </c>
      <c r="K57" s="1021">
        <f t="shared" si="13"/>
        <v>0</v>
      </c>
      <c r="L57" s="1021"/>
      <c r="M57" s="1009"/>
      <c r="N57" s="1009">
        <v>0</v>
      </c>
      <c r="O57" s="1009"/>
      <c r="P57" s="1021"/>
      <c r="Q57" s="1009"/>
      <c r="R57" s="1009">
        <v>0</v>
      </c>
      <c r="S57" s="1009"/>
    </row>
    <row r="58" spans="1:19">
      <c r="A58" s="1043">
        <f>A57+0.01</f>
        <v>9.02</v>
      </c>
      <c r="B58" s="1009" t="s">
        <v>911</v>
      </c>
      <c r="C58" s="1021">
        <f t="shared" si="10"/>
        <v>0.01</v>
      </c>
      <c r="D58" s="1021">
        <f t="shared" si="11"/>
        <v>0.01</v>
      </c>
      <c r="E58" s="1021"/>
      <c r="F58" s="1021"/>
      <c r="G58" s="1021">
        <f>ROUND(SUM(C58:F58)/2,0)</f>
        <v>0</v>
      </c>
      <c r="H58" s="1021"/>
      <c r="I58" s="1021">
        <f t="shared" si="13"/>
        <v>0</v>
      </c>
      <c r="J58" s="1021">
        <f t="shared" si="13"/>
        <v>0.01</v>
      </c>
      <c r="K58" s="1021">
        <f t="shared" si="13"/>
        <v>0</v>
      </c>
      <c r="L58" s="1021"/>
      <c r="M58" s="1009"/>
      <c r="N58" s="1009">
        <v>0.01</v>
      </c>
      <c r="O58" s="1009"/>
      <c r="P58" s="1021"/>
      <c r="Q58" s="1009"/>
      <c r="R58" s="1009">
        <v>0.01</v>
      </c>
      <c r="S58" s="1009"/>
    </row>
    <row r="59" spans="1:19">
      <c r="A59" s="1043">
        <f t="shared" ref="A59:A68" si="14">A58+0.01</f>
        <v>9.0299999999999994</v>
      </c>
      <c r="B59" s="1009" t="s">
        <v>888</v>
      </c>
      <c r="C59" s="1021">
        <f t="shared" si="10"/>
        <v>0.01</v>
      </c>
      <c r="D59" s="1021">
        <f t="shared" si="11"/>
        <v>0</v>
      </c>
      <c r="E59" s="1021"/>
      <c r="F59" s="1021"/>
      <c r="G59" s="1021">
        <f>ROUND(SUM(C59:F59)/2,0)</f>
        <v>0</v>
      </c>
      <c r="H59" s="1021"/>
      <c r="I59" s="1021">
        <f t="shared" si="13"/>
        <v>0</v>
      </c>
      <c r="J59" s="1021">
        <f t="shared" si="13"/>
        <v>5.0000000000000001E-3</v>
      </c>
      <c r="K59" s="1021">
        <f t="shared" si="13"/>
        <v>0</v>
      </c>
      <c r="L59" s="1021"/>
      <c r="M59" s="1009"/>
      <c r="N59" s="1009">
        <v>0.01</v>
      </c>
      <c r="O59" s="1009"/>
      <c r="P59" s="1021"/>
      <c r="Q59" s="1009"/>
      <c r="R59" s="1009">
        <v>0</v>
      </c>
      <c r="S59" s="1009"/>
    </row>
    <row r="60" spans="1:19">
      <c r="A60" s="1043">
        <f t="shared" si="14"/>
        <v>9.0399999999999991</v>
      </c>
      <c r="B60" s="1009" t="s">
        <v>889</v>
      </c>
      <c r="C60" s="1021">
        <f t="shared" si="10"/>
        <v>0</v>
      </c>
      <c r="D60" s="1021">
        <f t="shared" si="11"/>
        <v>0</v>
      </c>
      <c r="E60" s="1021"/>
      <c r="F60" s="1021"/>
      <c r="G60" s="1021">
        <f>ROUND(SUM(C60:F60)/2,0)</f>
        <v>0</v>
      </c>
      <c r="H60" s="1021"/>
      <c r="I60" s="1021">
        <f t="shared" si="13"/>
        <v>0</v>
      </c>
      <c r="J60" s="1021">
        <f t="shared" si="13"/>
        <v>0</v>
      </c>
      <c r="K60" s="1021">
        <f t="shared" si="13"/>
        <v>0</v>
      </c>
      <c r="L60" s="1021"/>
      <c r="M60" s="1009"/>
      <c r="N60" s="1009">
        <v>0</v>
      </c>
      <c r="O60" s="1009"/>
      <c r="P60" s="1021"/>
      <c r="Q60" s="1009"/>
      <c r="R60" s="1009">
        <v>0</v>
      </c>
      <c r="S60" s="1009"/>
    </row>
    <row r="61" spans="1:19">
      <c r="A61" s="1043">
        <f t="shared" si="14"/>
        <v>9.0499999999999989</v>
      </c>
      <c r="B61" s="1009" t="s">
        <v>1073</v>
      </c>
      <c r="C61" s="1021">
        <f t="shared" si="10"/>
        <v>464609.25</v>
      </c>
      <c r="D61" s="1021">
        <f t="shared" si="11"/>
        <v>353760.33</v>
      </c>
      <c r="E61" s="1021"/>
      <c r="F61" s="1021"/>
      <c r="G61" s="1021">
        <f t="shared" si="12"/>
        <v>409185</v>
      </c>
      <c r="H61" s="1021"/>
      <c r="I61" s="1021">
        <f t="shared" ref="I61:K63" si="15">(M61+Q61)/2</f>
        <v>0</v>
      </c>
      <c r="J61" s="1021">
        <f t="shared" si="15"/>
        <v>409184.79000000004</v>
      </c>
      <c r="K61" s="1021">
        <f t="shared" si="15"/>
        <v>0</v>
      </c>
      <c r="L61" s="1021"/>
      <c r="M61" s="1009"/>
      <c r="N61" s="1009">
        <v>464609.25</v>
      </c>
      <c r="O61" s="1009"/>
      <c r="P61" s="1021"/>
      <c r="Q61" s="1009"/>
      <c r="R61" s="1009">
        <v>353760.33</v>
      </c>
      <c r="S61" s="1009"/>
    </row>
    <row r="62" spans="1:19">
      <c r="A62" s="1043">
        <f t="shared" si="14"/>
        <v>9.0599999999999987</v>
      </c>
      <c r="B62" s="1009" t="s">
        <v>883</v>
      </c>
      <c r="C62" s="1021">
        <f t="shared" si="10"/>
        <v>-1753505.18</v>
      </c>
      <c r="D62" s="1021">
        <f t="shared" si="11"/>
        <v>-1402804.18</v>
      </c>
      <c r="E62" s="1021"/>
      <c r="F62" s="1021"/>
      <c r="G62" s="1021">
        <f t="shared" si="12"/>
        <v>-1578155</v>
      </c>
      <c r="H62" s="1021"/>
      <c r="I62" s="1021">
        <f t="shared" si="15"/>
        <v>0</v>
      </c>
      <c r="J62" s="1021">
        <f t="shared" si="15"/>
        <v>-1578154.68</v>
      </c>
      <c r="K62" s="1021">
        <f t="shared" si="15"/>
        <v>0</v>
      </c>
      <c r="L62" s="1021"/>
      <c r="M62" s="1009"/>
      <c r="N62" s="1009">
        <v>-1753505.18</v>
      </c>
      <c r="O62" s="1009"/>
      <c r="P62" s="1021"/>
      <c r="Q62" s="1009"/>
      <c r="R62" s="1009">
        <v>-1402804.18</v>
      </c>
      <c r="S62" s="1009"/>
    </row>
    <row r="63" spans="1:19">
      <c r="A63" s="1043">
        <f t="shared" si="14"/>
        <v>9.0699999999999985</v>
      </c>
      <c r="B63" s="1410" t="s">
        <v>999</v>
      </c>
      <c r="C63" s="1410">
        <f>SUM(M63:O63)</f>
        <v>0</v>
      </c>
      <c r="D63" s="1410">
        <f>SUM(Q63:S63)</f>
        <v>0</v>
      </c>
      <c r="E63" s="1411"/>
      <c r="F63" s="1411"/>
      <c r="G63" s="1412">
        <f>ROUND(SUM(C63:F63)/2,0)</f>
        <v>0</v>
      </c>
      <c r="H63" s="1412"/>
      <c r="I63" s="1412">
        <f t="shared" si="15"/>
        <v>0</v>
      </c>
      <c r="J63" s="1412">
        <f t="shared" si="15"/>
        <v>0</v>
      </c>
      <c r="K63" s="1412">
        <f t="shared" si="15"/>
        <v>0</v>
      </c>
      <c r="L63" s="1021"/>
      <c r="M63" s="1009"/>
      <c r="N63" s="1009"/>
      <c r="O63" s="1009"/>
      <c r="P63" s="1021"/>
      <c r="Q63" s="1009"/>
      <c r="R63" s="1009"/>
      <c r="S63" s="1009"/>
    </row>
    <row r="64" spans="1:19">
      <c r="A64" s="1043">
        <f t="shared" si="14"/>
        <v>9.0799999999999983</v>
      </c>
      <c r="B64" s="1410" t="s">
        <v>1000</v>
      </c>
      <c r="C64" s="1410">
        <f>-E64</f>
        <v>0</v>
      </c>
      <c r="D64" s="1410">
        <f>-F64</f>
        <v>0</v>
      </c>
      <c r="E64" s="1411">
        <f>C63</f>
        <v>0</v>
      </c>
      <c r="F64" s="1411">
        <f>D63</f>
        <v>0</v>
      </c>
      <c r="G64" s="1412">
        <f>ROUND(SUM(C64:F64)/2,0)</f>
        <v>0</v>
      </c>
      <c r="H64" s="1412"/>
      <c r="I64" s="1021"/>
      <c r="J64" s="1021"/>
      <c r="K64" s="1021"/>
      <c r="L64" s="1021"/>
      <c r="M64" s="1009"/>
      <c r="N64" s="1009"/>
      <c r="O64" s="1009"/>
      <c r="P64" s="1021"/>
      <c r="Q64" s="1009"/>
      <c r="R64" s="1009"/>
      <c r="S64" s="1009"/>
    </row>
    <row r="65" spans="1:19">
      <c r="A65" s="1043">
        <f t="shared" si="14"/>
        <v>9.0899999999999981</v>
      </c>
      <c r="B65" s="1009" t="s">
        <v>890</v>
      </c>
      <c r="C65" s="1009">
        <f t="shared" ref="C65:D68" si="16">-E65</f>
        <v>12848768.73</v>
      </c>
      <c r="D65" s="1009">
        <f t="shared" si="16"/>
        <v>14133145.449999999</v>
      </c>
      <c r="E65" s="1021">
        <v>-12848768.73</v>
      </c>
      <c r="F65" s="1021">
        <v>-14133145.449999999</v>
      </c>
      <c r="G65" s="1021">
        <f t="shared" si="12"/>
        <v>0</v>
      </c>
      <c r="H65" s="1021"/>
      <c r="I65" s="1021"/>
      <c r="J65" s="1021"/>
      <c r="K65" s="1021"/>
      <c r="L65" s="1021"/>
      <c r="M65" s="1021"/>
      <c r="N65" s="1021"/>
      <c r="O65" s="1021"/>
      <c r="P65" s="1021"/>
      <c r="Q65" s="1021"/>
      <c r="R65" s="1021"/>
      <c r="S65" s="1021"/>
    </row>
    <row r="66" spans="1:19">
      <c r="A66" s="1043">
        <f t="shared" si="14"/>
        <v>9.0999999999999979</v>
      </c>
      <c r="B66" s="1009" t="s">
        <v>891</v>
      </c>
      <c r="C66" s="1009">
        <f t="shared" si="16"/>
        <v>1753505.1800000002</v>
      </c>
      <c r="D66" s="1009">
        <f t="shared" si="16"/>
        <v>1402804.18</v>
      </c>
      <c r="E66" s="1021">
        <v>-1753505.1800000002</v>
      </c>
      <c r="F66" s="1021">
        <v>-1402804.18</v>
      </c>
      <c r="G66" s="1021">
        <f t="shared" si="12"/>
        <v>0</v>
      </c>
      <c r="H66" s="1021"/>
      <c r="I66" s="1021"/>
      <c r="J66" s="1021"/>
      <c r="K66" s="1021"/>
      <c r="L66" s="1021"/>
      <c r="M66" s="1021"/>
      <c r="N66" s="1021"/>
      <c r="O66" s="1021"/>
      <c r="P66" s="1021"/>
      <c r="Q66" s="1021"/>
      <c r="R66" s="1021"/>
      <c r="S66" s="1021"/>
    </row>
    <row r="67" spans="1:19">
      <c r="A67" s="1043">
        <f t="shared" si="14"/>
        <v>9.1099999999999977</v>
      </c>
      <c r="B67" s="1009" t="s">
        <v>892</v>
      </c>
      <c r="C67" s="1009">
        <f t="shared" si="16"/>
        <v>0</v>
      </c>
      <c r="D67" s="1009">
        <f t="shared" si="16"/>
        <v>0</v>
      </c>
      <c r="E67" s="1021">
        <v>0</v>
      </c>
      <c r="F67" s="1021">
        <v>0</v>
      </c>
      <c r="G67" s="1021">
        <f t="shared" si="12"/>
        <v>0</v>
      </c>
      <c r="H67" s="1021"/>
      <c r="I67" s="1021"/>
      <c r="J67" s="1021"/>
      <c r="K67" s="1021"/>
      <c r="L67" s="1021"/>
      <c r="M67" s="1021"/>
      <c r="N67" s="1021"/>
      <c r="O67" s="1021"/>
      <c r="P67" s="1021"/>
      <c r="Q67" s="1021"/>
      <c r="R67" s="1021"/>
      <c r="S67" s="1021"/>
    </row>
    <row r="68" spans="1:19">
      <c r="A68" s="1043">
        <f t="shared" si="14"/>
        <v>9.1199999999999974</v>
      </c>
      <c r="B68" s="1009" t="s">
        <v>893</v>
      </c>
      <c r="C68" s="1009">
        <f t="shared" si="16"/>
        <v>0</v>
      </c>
      <c r="D68" s="1009">
        <f t="shared" si="16"/>
        <v>0</v>
      </c>
      <c r="E68" s="1021">
        <v>0</v>
      </c>
      <c r="F68" s="1021">
        <v>0</v>
      </c>
      <c r="G68" s="1021">
        <f t="shared" si="12"/>
        <v>0</v>
      </c>
      <c r="H68" s="1021"/>
      <c r="I68" s="1021"/>
      <c r="J68" s="1021"/>
      <c r="K68" s="1021"/>
      <c r="L68" s="1021"/>
      <c r="M68" s="1021"/>
      <c r="N68" s="1021"/>
      <c r="O68" s="1021"/>
      <c r="P68" s="1021"/>
      <c r="Q68" s="1021"/>
      <c r="R68" s="1021"/>
      <c r="S68" s="1021"/>
    </row>
    <row r="69" spans="1:19">
      <c r="A69" s="1029"/>
      <c r="B69" s="1013"/>
      <c r="C69" s="1021"/>
      <c r="D69" s="1021"/>
      <c r="E69" s="1021"/>
      <c r="F69" s="1021"/>
      <c r="G69" s="1021"/>
      <c r="H69" s="1021"/>
      <c r="I69" s="1021"/>
      <c r="J69" s="1021"/>
      <c r="K69" s="1021"/>
      <c r="L69" s="1021"/>
      <c r="M69" s="1021"/>
      <c r="N69" s="1021"/>
      <c r="O69" s="1021"/>
      <c r="P69" s="1021"/>
      <c r="Q69" s="1021"/>
      <c r="R69" s="1021"/>
      <c r="S69" s="1021"/>
    </row>
    <row r="70" spans="1:19">
      <c r="A70" s="1029"/>
      <c r="B70" s="1013"/>
      <c r="C70" s="1021"/>
      <c r="D70" s="1021"/>
      <c r="E70" s="1021"/>
      <c r="F70" s="1021"/>
      <c r="G70" s="1021"/>
      <c r="H70" s="1021"/>
      <c r="I70" s="1021"/>
      <c r="J70" s="1021"/>
      <c r="K70" s="1021"/>
      <c r="L70" s="1021"/>
      <c r="M70" s="1021"/>
      <c r="N70" s="1021"/>
      <c r="O70" s="1021"/>
      <c r="P70" s="1021"/>
      <c r="Q70" s="1021"/>
      <c r="R70" s="1021"/>
      <c r="S70" s="1021"/>
    </row>
    <row r="71" spans="1:19" ht="13.5" thickBot="1">
      <c r="A71" s="1029">
        <v>10</v>
      </c>
      <c r="B71" s="1010"/>
      <c r="C71" s="1023">
        <f>SUM(C57:C70)</f>
        <v>13313378</v>
      </c>
      <c r="D71" s="1023">
        <f>SUM(D57:D70)</f>
        <v>14486905.789999999</v>
      </c>
      <c r="E71" s="1023">
        <f>SUM(E57:E70)</f>
        <v>-14602273.91</v>
      </c>
      <c r="F71" s="1023">
        <f>SUM(F57:F70)</f>
        <v>-15535949.629999999</v>
      </c>
      <c r="G71" s="1023">
        <f>SUM(G57:G70)</f>
        <v>-1168970</v>
      </c>
      <c r="H71" s="1021"/>
      <c r="I71" s="1023">
        <f>SUM(I57:I70)</f>
        <v>0</v>
      </c>
      <c r="J71" s="1023">
        <f>SUM(J57:J70)</f>
        <v>-1168969.875</v>
      </c>
      <c r="K71" s="1023">
        <f>SUM(K57:K70)</f>
        <v>0</v>
      </c>
      <c r="L71" s="1021"/>
      <c r="M71" s="1023">
        <f>SUM(M57:M70)</f>
        <v>0</v>
      </c>
      <c r="N71" s="1023">
        <f>SUM(N57:N70)</f>
        <v>-1288895.9099999999</v>
      </c>
      <c r="O71" s="1023">
        <f>SUM(O57:O70)</f>
        <v>0</v>
      </c>
      <c r="P71" s="1021"/>
      <c r="Q71" s="1023">
        <f>SUM(Q57:Q70)</f>
        <v>0</v>
      </c>
      <c r="R71" s="1023">
        <f>SUM(R57:R70)</f>
        <v>-1049043.8399999999</v>
      </c>
      <c r="S71" s="1023">
        <f>SUM(S57:S70)</f>
        <v>0</v>
      </c>
    </row>
    <row r="72" spans="1:19" ht="13.5" thickTop="1">
      <c r="A72" s="1029"/>
      <c r="B72" s="1013"/>
      <c r="C72" s="1024"/>
      <c r="D72" s="1024"/>
      <c r="E72" s="1024"/>
      <c r="F72" s="1024"/>
      <c r="G72" s="1024"/>
      <c r="H72" s="1021"/>
      <c r="I72" s="1024"/>
      <c r="J72" s="1024"/>
      <c r="K72" s="1024"/>
      <c r="L72" s="1021"/>
      <c r="M72" s="1024"/>
      <c r="N72" s="1024"/>
      <c r="O72" s="1024"/>
      <c r="P72" s="1021"/>
      <c r="Q72" s="1024"/>
      <c r="R72" s="1024"/>
      <c r="S72" s="1024"/>
    </row>
    <row r="73" spans="1:19">
      <c r="A73" s="1029"/>
      <c r="B73" s="1013"/>
      <c r="C73" s="1021"/>
      <c r="D73" s="1021"/>
      <c r="E73" s="1021"/>
      <c r="F73" s="1021"/>
      <c r="G73" s="1021"/>
      <c r="H73" s="1021"/>
      <c r="I73" s="1021"/>
      <c r="J73" s="1021"/>
      <c r="K73" s="1021"/>
      <c r="L73" s="1021"/>
      <c r="M73" s="1021"/>
      <c r="N73" s="1021"/>
      <c r="O73" s="1021"/>
      <c r="P73" s="1021"/>
      <c r="Q73" s="1021"/>
      <c r="R73" s="1021"/>
      <c r="S73" s="1021"/>
    </row>
    <row r="74" spans="1:19">
      <c r="A74" s="1029">
        <f>+A71+1</f>
        <v>11</v>
      </c>
      <c r="B74" s="1007" t="s">
        <v>673</v>
      </c>
      <c r="C74" s="1021">
        <f>SUM(M74:O74)</f>
        <v>4869795.9800000004</v>
      </c>
      <c r="D74" s="1021">
        <f>SUM(Q74:S74)</f>
        <v>4579238.93</v>
      </c>
      <c r="E74" s="1021"/>
      <c r="F74" s="1021"/>
      <c r="G74" s="1021">
        <f>ROUND(SUM(C74:F74)/2,0)</f>
        <v>4724517</v>
      </c>
      <c r="H74" s="1021"/>
      <c r="I74" s="1021">
        <f t="shared" ref="I74:K74" si="17">(M74+Q74)/2</f>
        <v>0</v>
      </c>
      <c r="J74" s="1021">
        <f t="shared" si="17"/>
        <v>4724517.4550000001</v>
      </c>
      <c r="K74" s="1021">
        <f t="shared" si="17"/>
        <v>0</v>
      </c>
      <c r="L74" s="1021"/>
      <c r="M74" s="1009"/>
      <c r="N74" s="1009">
        <v>4869795.9800000004</v>
      </c>
      <c r="O74" s="1009"/>
      <c r="P74" s="1021"/>
      <c r="Q74" s="1009"/>
      <c r="R74" s="1009">
        <v>4579238.93</v>
      </c>
      <c r="S74" s="1009"/>
    </row>
    <row r="75" spans="1:19">
      <c r="A75" s="1051">
        <f>A74+0.01</f>
        <v>11.01</v>
      </c>
      <c r="B75" s="1009" t="s">
        <v>894</v>
      </c>
      <c r="C75" s="1009">
        <f t="shared" ref="C75" si="18">-E75</f>
        <v>0</v>
      </c>
      <c r="D75" s="1009">
        <f t="shared" ref="D75" si="19">-F75</f>
        <v>751653.19000000006</v>
      </c>
      <c r="E75" s="1021">
        <v>0</v>
      </c>
      <c r="F75" s="1021">
        <v>-751653.19000000006</v>
      </c>
      <c r="G75" s="1021">
        <f>ROUND(SUM(C75:F75)/2,0)</f>
        <v>0</v>
      </c>
      <c r="H75" s="1021"/>
      <c r="I75" s="1021"/>
      <c r="J75" s="1021"/>
      <c r="K75" s="1021"/>
      <c r="L75" s="1021"/>
      <c r="M75" s="1337"/>
      <c r="N75" s="1337"/>
      <c r="O75" s="1337"/>
      <c r="P75" s="1021"/>
      <c r="Q75" s="1337"/>
      <c r="R75" s="1337"/>
      <c r="S75" s="1337"/>
    </row>
    <row r="76" spans="1:19">
      <c r="A76" s="1029"/>
      <c r="B76" s="1013"/>
      <c r="C76" s="1021"/>
      <c r="D76" s="1021"/>
      <c r="E76" s="1021"/>
      <c r="F76" s="1021"/>
      <c r="G76" s="1021"/>
      <c r="H76" s="1021"/>
      <c r="I76" s="1021"/>
      <c r="J76" s="1021"/>
      <c r="K76" s="1021"/>
      <c r="L76" s="1021"/>
      <c r="M76" s="1021"/>
      <c r="N76" s="1021"/>
      <c r="O76" s="1021"/>
      <c r="P76" s="1021"/>
      <c r="Q76" s="1021"/>
      <c r="R76" s="1021"/>
      <c r="S76" s="1021"/>
    </row>
    <row r="77" spans="1:19" ht="13.5" thickBot="1">
      <c r="A77" s="1029">
        <f>+A74+1</f>
        <v>12</v>
      </c>
      <c r="B77" s="1010" t="s">
        <v>674</v>
      </c>
      <c r="C77" s="1023">
        <f>SUM(C71:C76)</f>
        <v>18183173.98</v>
      </c>
      <c r="D77" s="1023">
        <f>SUM(D71:D76)</f>
        <v>19817797.91</v>
      </c>
      <c r="E77" s="1023">
        <f>SUM(E71:E76)</f>
        <v>-14602273.91</v>
      </c>
      <c r="F77" s="1023">
        <f>SUM(F71:F76)</f>
        <v>-16287602.819999998</v>
      </c>
      <c r="G77" s="1023">
        <f>SUM(G71:G76)</f>
        <v>3555547</v>
      </c>
      <c r="H77" s="1021"/>
      <c r="I77" s="1023">
        <f>SUM(I71:I76)</f>
        <v>0</v>
      </c>
      <c r="J77" s="1023">
        <f>SUM(J71:J76)</f>
        <v>3555547.58</v>
      </c>
      <c r="K77" s="1023">
        <f>SUM(K71:K76)</f>
        <v>0</v>
      </c>
      <c r="L77" s="1021"/>
      <c r="M77" s="1026">
        <f>SUM(M71:M76)</f>
        <v>0</v>
      </c>
      <c r="N77" s="1026">
        <f>SUM(N71:N76)</f>
        <v>3580900.0700000003</v>
      </c>
      <c r="O77" s="1026">
        <f>SUM(O71:O76)</f>
        <v>0</v>
      </c>
      <c r="P77" s="1021"/>
      <c r="Q77" s="1023">
        <f>SUM(Q71:Q76)</f>
        <v>0</v>
      </c>
      <c r="R77" s="1023">
        <f>SUM(R71:R76)</f>
        <v>3530195.09</v>
      </c>
      <c r="S77" s="1023">
        <f>SUM(S71:S76)</f>
        <v>0</v>
      </c>
    </row>
    <row r="78" spans="1:19" ht="13.5" thickTop="1">
      <c r="A78" s="1029">
        <f>A77+1</f>
        <v>13</v>
      </c>
      <c r="B78" s="1013" t="s">
        <v>675</v>
      </c>
      <c r="C78" s="1024">
        <v>0</v>
      </c>
      <c r="D78" s="1024">
        <v>0</v>
      </c>
      <c r="E78" s="1024">
        <v>0</v>
      </c>
      <c r="F78" s="1024">
        <v>0</v>
      </c>
      <c r="G78" s="1024">
        <v>0</v>
      </c>
      <c r="H78" s="1021"/>
      <c r="I78" s="1024">
        <v>0</v>
      </c>
      <c r="J78" s="1024">
        <v>0</v>
      </c>
      <c r="K78" s="1024">
        <v>0</v>
      </c>
      <c r="L78" s="1021"/>
      <c r="M78" s="1024">
        <v>0</v>
      </c>
      <c r="N78" s="1024">
        <v>0</v>
      </c>
      <c r="O78" s="1024">
        <v>0</v>
      </c>
      <c r="P78" s="1021"/>
      <c r="Q78" s="1024">
        <v>0</v>
      </c>
      <c r="R78" s="1024">
        <v>0</v>
      </c>
      <c r="S78" s="1024">
        <v>0</v>
      </c>
    </row>
    <row r="79" spans="1:19">
      <c r="A79" s="1029"/>
      <c r="B79" s="1013"/>
      <c r="C79" s="1025"/>
      <c r="D79" s="1025"/>
      <c r="E79" s="1021"/>
      <c r="F79" s="1021"/>
      <c r="G79" s="1021"/>
      <c r="H79" s="1021"/>
      <c r="I79" s="1021"/>
      <c r="J79" s="1021"/>
      <c r="K79" s="1021"/>
      <c r="L79" s="1021"/>
      <c r="M79" s="1021"/>
      <c r="N79" s="1021"/>
      <c r="O79" s="1021"/>
      <c r="P79" s="1021"/>
      <c r="Q79" s="1021"/>
      <c r="R79" s="1021"/>
      <c r="S79" s="1021"/>
    </row>
    <row r="80" spans="1:19">
      <c r="A80" s="1029">
        <f>+A78+1</f>
        <v>14</v>
      </c>
      <c r="B80" s="1010" t="s">
        <v>676</v>
      </c>
      <c r="C80" s="1021"/>
      <c r="D80" s="1021"/>
      <c r="E80" s="1021"/>
      <c r="F80" s="1021"/>
      <c r="G80" s="1021"/>
      <c r="H80" s="1021"/>
      <c r="I80" s="1021"/>
      <c r="J80" s="1021"/>
      <c r="K80" s="1021"/>
      <c r="L80" s="1021"/>
      <c r="M80" s="1021"/>
      <c r="N80" s="1021"/>
      <c r="O80" s="1021"/>
      <c r="P80" s="1021"/>
      <c r="Q80" s="1021"/>
      <c r="R80" s="1021"/>
      <c r="S80" s="1021"/>
    </row>
    <row r="81" spans="1:19">
      <c r="A81" s="1029"/>
      <c r="B81" s="1013"/>
      <c r="C81" s="1021"/>
      <c r="D81" s="1021"/>
      <c r="E81" s="1021"/>
      <c r="F81" s="1021"/>
      <c r="G81" s="1021"/>
      <c r="H81" s="1021"/>
      <c r="I81" s="1021"/>
      <c r="J81" s="1021"/>
      <c r="K81" s="1021"/>
      <c r="L81" s="1021"/>
      <c r="M81" s="1021"/>
      <c r="N81" s="1021"/>
      <c r="O81" s="1021"/>
      <c r="P81" s="1021"/>
      <c r="Q81" s="1021"/>
      <c r="R81" s="1021"/>
      <c r="S81" s="1021"/>
    </row>
    <row r="82" spans="1:19">
      <c r="A82" s="1029">
        <f>+A80+1</f>
        <v>15</v>
      </c>
      <c r="B82" s="1010" t="s">
        <v>677</v>
      </c>
      <c r="C82" s="1021"/>
      <c r="D82" s="1021"/>
      <c r="E82" s="1021"/>
      <c r="F82" s="1021"/>
      <c r="G82" s="1021"/>
      <c r="H82" s="1021"/>
      <c r="I82" s="1021"/>
      <c r="J82" s="1021"/>
      <c r="K82" s="1021"/>
      <c r="L82" s="1021"/>
      <c r="M82" s="1021"/>
      <c r="N82" s="1021"/>
      <c r="O82" s="1021"/>
      <c r="P82" s="1021"/>
      <c r="Q82" s="1021"/>
      <c r="R82" s="1021"/>
      <c r="S82" s="1021"/>
    </row>
    <row r="83" spans="1:19">
      <c r="A83" s="1029"/>
      <c r="B83" s="1013"/>
      <c r="C83" s="1021"/>
      <c r="D83" s="1027"/>
      <c r="E83" s="1027"/>
      <c r="F83" s="1027"/>
      <c r="G83" s="1027"/>
      <c r="H83" s="1027"/>
      <c r="I83" s="1027"/>
      <c r="J83" s="1027"/>
      <c r="K83" s="1027"/>
      <c r="L83" s="1027"/>
      <c r="M83" s="1021"/>
      <c r="N83" s="1021"/>
      <c r="O83" s="1021"/>
      <c r="P83" s="1021"/>
      <c r="Q83" s="1021"/>
      <c r="R83" s="1021"/>
      <c r="S83" s="1021"/>
    </row>
    <row r="84" spans="1:19">
      <c r="A84" s="1029">
        <f>+A82+1</f>
        <v>16</v>
      </c>
      <c r="B84" s="1010" t="s">
        <v>678</v>
      </c>
      <c r="C84" s="1021"/>
      <c r="D84" s="1027"/>
      <c r="E84" s="1027"/>
      <c r="F84" s="1027"/>
      <c r="G84" s="1027"/>
      <c r="H84" s="1027"/>
      <c r="I84" s="1027"/>
      <c r="J84" s="1027"/>
      <c r="K84" s="1027"/>
      <c r="L84" s="1027"/>
      <c r="M84" s="1021"/>
      <c r="N84" s="1021"/>
      <c r="O84" s="1021"/>
      <c r="P84" s="1021"/>
      <c r="Q84" s="1021"/>
      <c r="R84" s="1021"/>
      <c r="S84" s="1021"/>
    </row>
    <row r="85" spans="1:19">
      <c r="A85" s="1029"/>
      <c r="B85" s="1013"/>
      <c r="C85" s="1021"/>
      <c r="D85" s="1021"/>
      <c r="E85" s="1021"/>
      <c r="F85" s="1021"/>
      <c r="G85" s="1021"/>
      <c r="H85" s="1021"/>
      <c r="I85" s="1021"/>
      <c r="J85" s="1021"/>
      <c r="K85" s="1021"/>
      <c r="L85" s="1021"/>
      <c r="M85" s="1021"/>
      <c r="N85" s="1021"/>
      <c r="O85" s="1021"/>
      <c r="P85" s="1021"/>
      <c r="Q85" s="1021"/>
      <c r="R85" s="1021"/>
      <c r="S85" s="1021"/>
    </row>
    <row r="86" spans="1:19">
      <c r="A86" s="1029">
        <f>+A84+1</f>
        <v>17</v>
      </c>
      <c r="B86" s="1007" t="s">
        <v>679</v>
      </c>
      <c r="C86" s="1021"/>
      <c r="D86" s="1021"/>
      <c r="E86" s="1021"/>
      <c r="F86" s="1021"/>
      <c r="G86" s="1021"/>
      <c r="H86" s="1021"/>
      <c r="I86" s="1021"/>
      <c r="J86" s="1021"/>
      <c r="K86" s="1021"/>
      <c r="L86" s="1021"/>
      <c r="M86" s="1021"/>
      <c r="N86" s="1021"/>
      <c r="O86" s="1021"/>
      <c r="P86" s="1021"/>
      <c r="Q86" s="1021"/>
      <c r="R86" s="1021"/>
      <c r="S86" s="1021"/>
    </row>
    <row r="87" spans="1:19">
      <c r="A87" s="1029">
        <f>A86+1</f>
        <v>18</v>
      </c>
      <c r="B87" s="1007" t="s">
        <v>680</v>
      </c>
      <c r="C87" s="1021"/>
      <c r="D87" s="1021"/>
      <c r="E87" s="1021"/>
      <c r="F87" s="1021"/>
      <c r="G87" s="1021"/>
      <c r="H87" s="1021"/>
      <c r="I87" s="1021"/>
      <c r="J87" s="1021"/>
      <c r="K87" s="1021"/>
      <c r="L87" s="1021"/>
      <c r="M87" s="1021"/>
      <c r="N87" s="1021"/>
      <c r="O87" s="1021"/>
      <c r="P87" s="1021"/>
      <c r="Q87" s="1337"/>
      <c r="R87" s="1021"/>
      <c r="S87" s="1021"/>
    </row>
    <row r="88" spans="1:19">
      <c r="A88" s="1051">
        <f>A87+0.01</f>
        <v>18.010000000000002</v>
      </c>
      <c r="B88" s="1009"/>
      <c r="C88" s="1021">
        <f>SUM(M88:O88)</f>
        <v>0</v>
      </c>
      <c r="D88" s="1021">
        <f>SUM(Q88:S88)</f>
        <v>0</v>
      </c>
      <c r="E88" s="1021"/>
      <c r="F88" s="1021"/>
      <c r="G88" s="1021">
        <f>ROUND(SUM(C88:F88)/2,0)</f>
        <v>0</v>
      </c>
      <c r="H88" s="1021"/>
      <c r="I88" s="1021">
        <f t="shared" ref="I88:K89" si="20">(M88+Q88)/2</f>
        <v>0</v>
      </c>
      <c r="J88" s="1021">
        <f t="shared" si="20"/>
        <v>0</v>
      </c>
      <c r="K88" s="1021">
        <f t="shared" si="20"/>
        <v>0</v>
      </c>
      <c r="L88" s="1021"/>
      <c r="M88" s="1009"/>
      <c r="N88" s="1009"/>
      <c r="O88" s="1009"/>
      <c r="P88" s="1021"/>
      <c r="Q88" s="1009"/>
      <c r="R88" s="1009"/>
      <c r="S88" s="1009"/>
    </row>
    <row r="89" spans="1:19">
      <c r="A89" s="1051">
        <f>A88+0.01</f>
        <v>18.020000000000003</v>
      </c>
      <c r="B89" s="1009"/>
      <c r="C89" s="1021">
        <f>SUM(M89:O89)</f>
        <v>0</v>
      </c>
      <c r="D89" s="1021">
        <f>SUM(Q89:S89)</f>
        <v>0</v>
      </c>
      <c r="E89" s="1021"/>
      <c r="F89" s="1021"/>
      <c r="G89" s="1021">
        <f>ROUND(SUM(C89:F89)/2,0)</f>
        <v>0</v>
      </c>
      <c r="H89" s="1021"/>
      <c r="I89" s="1021">
        <f t="shared" si="20"/>
        <v>0</v>
      </c>
      <c r="J89" s="1021">
        <f t="shared" si="20"/>
        <v>0</v>
      </c>
      <c r="K89" s="1021">
        <f t="shared" si="20"/>
        <v>0</v>
      </c>
      <c r="L89" s="1021"/>
      <c r="M89" s="1009"/>
      <c r="N89" s="1009"/>
      <c r="O89" s="1009"/>
      <c r="P89" s="1021"/>
      <c r="Q89" s="1009"/>
      <c r="R89" s="1009"/>
      <c r="S89" s="1009"/>
    </row>
    <row r="90" spans="1:19">
      <c r="A90" s="1029">
        <f>INT(A89)+1</f>
        <v>19</v>
      </c>
      <c r="B90" s="1010"/>
      <c r="C90" s="1021"/>
      <c r="D90" s="1021"/>
      <c r="E90" s="1021"/>
      <c r="F90" s="1021"/>
      <c r="G90" s="1021"/>
      <c r="H90" s="1021"/>
      <c r="I90" s="1021"/>
      <c r="J90" s="1021"/>
      <c r="K90" s="1021"/>
      <c r="L90" s="1021"/>
      <c r="M90" s="1021"/>
      <c r="N90" s="1021"/>
      <c r="O90" s="1021"/>
      <c r="P90" s="1021"/>
      <c r="Q90" s="1021"/>
      <c r="R90" s="1021"/>
      <c r="S90" s="1021"/>
    </row>
    <row r="91" spans="1:19">
      <c r="A91" s="1029">
        <f>A90+1</f>
        <v>20</v>
      </c>
      <c r="B91" s="1007" t="s">
        <v>681</v>
      </c>
      <c r="C91" s="1023">
        <f>SUM(C88:C90)</f>
        <v>0</v>
      </c>
      <c r="D91" s="1023">
        <f>SUM(D88:D90)</f>
        <v>0</v>
      </c>
      <c r="E91" s="1023">
        <f>SUM(E88:E90)</f>
        <v>0</v>
      </c>
      <c r="F91" s="1023">
        <f>SUM(F88:F90)</f>
        <v>0</v>
      </c>
      <c r="G91" s="1023">
        <f>SUM(G88:G90)</f>
        <v>0</v>
      </c>
      <c r="H91" s="1021"/>
      <c r="I91" s="1023">
        <f>SUM(I88:I90)</f>
        <v>0</v>
      </c>
      <c r="J91" s="1023">
        <f>SUM(J88:J90)</f>
        <v>0</v>
      </c>
      <c r="K91" s="1023">
        <f>SUM(K88:K90)</f>
        <v>0</v>
      </c>
      <c r="L91" s="1021"/>
      <c r="M91" s="1023">
        <f>SUM(M88:M90)</f>
        <v>0</v>
      </c>
      <c r="N91" s="1023">
        <f>SUM(N88:N90)</f>
        <v>0</v>
      </c>
      <c r="O91" s="1023">
        <f>SUM(O88:O90)</f>
        <v>0</v>
      </c>
      <c r="P91" s="1021"/>
      <c r="Q91" s="1023">
        <f>SUM(Q88:Q90)</f>
        <v>0</v>
      </c>
      <c r="R91" s="1023">
        <f>SUM(R88:R90)</f>
        <v>0</v>
      </c>
      <c r="S91" s="1023">
        <f>SUM(S88:S90)</f>
        <v>0</v>
      </c>
    </row>
  </sheetData>
  <pageMargins left="0.7" right="0.7" top="0.75" bottom="0.75" header="0.3" footer="0.3"/>
  <pageSetup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54"/>
  <sheetViews>
    <sheetView view="pageBreakPreview" topLeftCell="A13" zoomScale="85" zoomScaleNormal="100" zoomScaleSheetLayoutView="85" workbookViewId="0">
      <selection activeCell="R43" sqref="R43"/>
    </sheetView>
  </sheetViews>
  <sheetFormatPr defaultRowHeight="12.75"/>
  <cols>
    <col min="1" max="1" width="6" style="1002" customWidth="1"/>
    <col min="2" max="2" width="54.5703125" style="1002" bestFit="1" customWidth="1"/>
    <col min="3" max="3" width="13.42578125" style="1002" bestFit="1" customWidth="1"/>
    <col min="4" max="4" width="12.85546875" style="1002" bestFit="1" customWidth="1"/>
    <col min="5" max="6" width="17" style="1002" customWidth="1"/>
    <col min="7" max="7" width="15.28515625" style="1002" bestFit="1" customWidth="1"/>
    <col min="8" max="8" width="9.140625" style="1002"/>
    <col min="9" max="9" width="13.140625" style="1002" bestFit="1" customWidth="1"/>
    <col min="10" max="10" width="15" style="1002" bestFit="1" customWidth="1"/>
    <col min="11" max="11" width="13.5703125" style="1002" bestFit="1" customWidth="1"/>
    <col min="12" max="12" width="9.140625" style="1002"/>
    <col min="13" max="13" width="13.140625" style="1002" bestFit="1" customWidth="1"/>
    <col min="14" max="14" width="15" style="1002" bestFit="1" customWidth="1"/>
    <col min="15" max="15" width="13.5703125" style="1002" bestFit="1" customWidth="1"/>
    <col min="16" max="16" width="9.140625" style="1002"/>
    <col min="17" max="17" width="13.140625" style="1002" bestFit="1" customWidth="1"/>
    <col min="18" max="18" width="15" style="1002" bestFit="1" customWidth="1"/>
    <col min="19" max="19" width="13.5703125" style="1002" bestFit="1" customWidth="1"/>
    <col min="20" max="16384" width="9.140625" style="1002"/>
  </cols>
  <sheetData>
    <row r="1" spans="1:19">
      <c r="A1" s="1030"/>
      <c r="B1" s="1050" t="str">
        <f>TCOS!F9</f>
        <v>AEP Ohio Transmission Company</v>
      </c>
      <c r="C1" s="1031"/>
      <c r="D1" s="1031"/>
      <c r="E1" s="1031"/>
      <c r="F1" s="1013"/>
      <c r="G1" s="1007"/>
      <c r="H1" s="1007"/>
      <c r="I1" s="1007"/>
      <c r="J1" s="1007"/>
      <c r="K1" s="1007"/>
      <c r="L1" s="1007"/>
      <c r="M1" s="1013"/>
      <c r="N1" s="1013"/>
      <c r="O1" s="1007"/>
      <c r="P1" s="1013"/>
      <c r="Q1" s="1013"/>
      <c r="R1" s="1013"/>
      <c r="S1" s="1007"/>
    </row>
    <row r="2" spans="1:19">
      <c r="A2" s="1030"/>
      <c r="B2" s="1012" t="s">
        <v>682</v>
      </c>
      <c r="C2" s="1031"/>
      <c r="D2" s="1031"/>
      <c r="E2" s="1031"/>
      <c r="F2" s="1031"/>
      <c r="G2" s="1006"/>
      <c r="H2" s="1006"/>
      <c r="I2" s="1006"/>
      <c r="J2" s="1006"/>
      <c r="K2" s="1006"/>
      <c r="L2" s="1006"/>
      <c r="M2" s="1013"/>
      <c r="N2" s="1013"/>
      <c r="O2" s="1006"/>
      <c r="P2" s="1013"/>
      <c r="Q2" s="1013"/>
      <c r="R2" s="1013"/>
      <c r="S2" s="1006"/>
    </row>
    <row r="3" spans="1:19">
      <c r="A3" s="1030"/>
      <c r="B3" s="1012" t="str">
        <f>"PERIOD ENDED DECEMBER 31, "&amp;TCOS!L4</f>
        <v>PERIOD ENDED DECEMBER 31, 2023</v>
      </c>
      <c r="C3" s="1031"/>
      <c r="D3" s="1031"/>
      <c r="E3" s="1031"/>
      <c r="F3" s="1031"/>
      <c r="G3" s="1031"/>
      <c r="H3" s="1031"/>
      <c r="I3" s="1031"/>
      <c r="J3" s="1031"/>
      <c r="K3" s="1031"/>
      <c r="L3" s="1031"/>
      <c r="M3" s="1013"/>
      <c r="N3" s="1013"/>
      <c r="O3" s="1013"/>
      <c r="P3" s="1013"/>
      <c r="Q3" s="1013"/>
      <c r="R3" s="1013"/>
      <c r="S3" s="1013"/>
    </row>
    <row r="4" spans="1:19">
      <c r="A4" s="1030"/>
      <c r="B4" s="1020"/>
      <c r="C4" s="1031"/>
      <c r="D4" s="1031"/>
      <c r="E4" s="1031"/>
      <c r="F4" s="1031"/>
      <c r="G4" s="1003" t="s">
        <v>683</v>
      </c>
      <c r="H4" s="1031"/>
      <c r="I4" s="1031"/>
      <c r="J4" s="1031"/>
      <c r="K4" s="1031"/>
      <c r="L4" s="1031"/>
      <c r="M4" s="1013"/>
      <c r="N4" s="1013"/>
      <c r="O4" s="1013"/>
      <c r="P4" s="1013"/>
      <c r="Q4" s="1013"/>
      <c r="R4" s="1013"/>
      <c r="S4" s="1013"/>
    </row>
    <row r="5" spans="1:19">
      <c r="A5" s="1030"/>
      <c r="B5" s="1014"/>
      <c r="C5" s="1031"/>
      <c r="D5" s="1031"/>
      <c r="E5" s="1031"/>
      <c r="F5" s="1031"/>
      <c r="G5" s="1031"/>
      <c r="H5" s="1031"/>
      <c r="I5" s="1031"/>
      <c r="J5" s="1031"/>
      <c r="K5" s="1031"/>
      <c r="L5" s="1031"/>
      <c r="M5" s="1013"/>
      <c r="N5" s="1013"/>
      <c r="O5" s="1013"/>
      <c r="P5" s="1013"/>
      <c r="Q5" s="1013"/>
      <c r="R5" s="1013"/>
      <c r="S5" s="1013"/>
    </row>
    <row r="6" spans="1:19">
      <c r="A6" s="1030"/>
      <c r="B6" s="1013"/>
      <c r="C6" s="1031"/>
      <c r="D6" s="1031"/>
      <c r="E6" s="1031"/>
      <c r="F6" s="1031"/>
      <c r="G6" s="1031"/>
      <c r="H6" s="1003"/>
      <c r="I6" s="1003"/>
      <c r="J6" s="1003"/>
      <c r="K6" s="1003"/>
      <c r="L6" s="1003"/>
      <c r="M6" s="1013"/>
      <c r="N6" s="1013"/>
      <c r="O6" s="1013"/>
      <c r="P6" s="1013"/>
      <c r="Q6" s="1013"/>
      <c r="R6" s="1013"/>
      <c r="S6" s="1013"/>
    </row>
    <row r="7" spans="1:19">
      <c r="A7" s="1030"/>
      <c r="B7" s="1013"/>
      <c r="C7" s="1031"/>
      <c r="D7" s="1031"/>
      <c r="E7" s="1031"/>
      <c r="F7" s="1031"/>
      <c r="G7" s="1031"/>
      <c r="H7" s="1031"/>
      <c r="I7" s="1031"/>
      <c r="J7" s="1031"/>
      <c r="K7" s="1031"/>
      <c r="L7" s="1031"/>
      <c r="M7" s="1013"/>
      <c r="N7" s="1013"/>
      <c r="O7" s="1013"/>
      <c r="P7" s="1013"/>
      <c r="Q7" s="1013"/>
      <c r="R7" s="1013"/>
      <c r="S7" s="1013"/>
    </row>
    <row r="8" spans="1:19">
      <c r="A8" s="1030"/>
      <c r="B8" s="1015" t="s">
        <v>639</v>
      </c>
      <c r="C8" s="1032" t="s">
        <v>640</v>
      </c>
      <c r="D8" s="1032" t="s">
        <v>641</v>
      </c>
      <c r="E8" s="1032" t="s">
        <v>642</v>
      </c>
      <c r="F8" s="1032" t="s">
        <v>643</v>
      </c>
      <c r="G8" s="1032" t="s">
        <v>644</v>
      </c>
      <c r="H8" s="1032"/>
      <c r="I8" s="1032" t="s">
        <v>645</v>
      </c>
      <c r="J8" s="1032" t="s">
        <v>646</v>
      </c>
      <c r="K8" s="1032" t="s">
        <v>647</v>
      </c>
      <c r="L8" s="1032"/>
      <c r="M8" s="1015" t="s">
        <v>648</v>
      </c>
      <c r="N8" s="1015" t="s">
        <v>649</v>
      </c>
      <c r="O8" s="1015" t="s">
        <v>650</v>
      </c>
      <c r="P8" s="1013"/>
      <c r="Q8" s="1015" t="s">
        <v>651</v>
      </c>
      <c r="R8" s="1015" t="s">
        <v>652</v>
      </c>
      <c r="S8" s="1015" t="s">
        <v>653</v>
      </c>
    </row>
    <row r="9" spans="1:19">
      <c r="A9" s="1030"/>
      <c r="B9" s="1013"/>
      <c r="C9" s="1031"/>
      <c r="D9" s="1031"/>
      <c r="E9" s="1031"/>
      <c r="F9" s="1031"/>
      <c r="G9" s="1031"/>
      <c r="H9" s="1031"/>
      <c r="I9" s="1031"/>
      <c r="J9" s="1031"/>
      <c r="K9" s="1031"/>
      <c r="L9" s="1031"/>
      <c r="M9" s="1013"/>
      <c r="N9" s="1013"/>
      <c r="O9" s="1013"/>
      <c r="P9" s="1013"/>
      <c r="Q9" s="1013"/>
      <c r="R9" s="1013"/>
      <c r="S9" s="1013"/>
    </row>
    <row r="10" spans="1:19">
      <c r="A10" s="1030"/>
      <c r="B10" s="1013"/>
      <c r="C10" s="1033" t="s">
        <v>654</v>
      </c>
      <c r="D10" s="1033"/>
      <c r="E10" s="1034" t="s">
        <v>655</v>
      </c>
      <c r="F10" s="1033"/>
      <c r="G10" s="1005" t="s">
        <v>656</v>
      </c>
      <c r="H10" s="1005"/>
      <c r="I10" s="1035" t="s">
        <v>657</v>
      </c>
      <c r="J10" s="1033"/>
      <c r="K10" s="1033"/>
      <c r="L10" s="1005"/>
      <c r="M10" s="1016" t="str">
        <f>"FUNCTIONALIZATION 12/31/"&amp;TCOS!L4-1</f>
        <v>FUNCTIONALIZATION 12/31/2022</v>
      </c>
      <c r="N10" s="1016"/>
      <c r="O10" s="1016"/>
      <c r="P10" s="1013"/>
      <c r="Q10" s="1016" t="str">
        <f>"FUNCTIONALIZATION 12/31/"&amp;TCOS!L4</f>
        <v>FUNCTIONALIZATION 12/31/2023</v>
      </c>
      <c r="R10" s="1016"/>
      <c r="S10" s="1016"/>
    </row>
    <row r="11" spans="1:19">
      <c r="A11" s="1030"/>
      <c r="B11" s="1013"/>
      <c r="C11" s="1036"/>
      <c r="D11" s="1036"/>
      <c r="E11" s="1031"/>
      <c r="F11" s="1031"/>
      <c r="G11" s="1005" t="s">
        <v>658</v>
      </c>
      <c r="H11" s="1005"/>
      <c r="I11" s="1036"/>
      <c r="J11" s="1036"/>
      <c r="K11" s="1036"/>
      <c r="L11" s="1005"/>
      <c r="M11" s="1019"/>
      <c r="N11" s="1019"/>
      <c r="O11" s="1019"/>
      <c r="P11" s="1013"/>
      <c r="Q11" s="1019"/>
      <c r="R11" s="1019"/>
      <c r="S11" s="1019"/>
    </row>
    <row r="12" spans="1:19">
      <c r="A12" s="1030"/>
      <c r="B12" s="1013"/>
      <c r="C12" s="1005" t="s">
        <v>659</v>
      </c>
      <c r="D12" s="1005" t="s">
        <v>659</v>
      </c>
      <c r="E12" s="1005" t="s">
        <v>659</v>
      </c>
      <c r="F12" s="1005" t="s">
        <v>659</v>
      </c>
      <c r="G12" s="1005" t="s">
        <v>660</v>
      </c>
      <c r="H12" s="1005"/>
      <c r="I12" s="1031"/>
      <c r="J12" s="1031"/>
      <c r="K12" s="1031"/>
      <c r="L12" s="1005"/>
      <c r="M12" s="1013"/>
      <c r="N12" s="1013"/>
      <c r="O12" s="1013"/>
      <c r="P12" s="1013"/>
      <c r="Q12" s="1013"/>
      <c r="R12" s="1013"/>
      <c r="S12" s="1013"/>
    </row>
    <row r="13" spans="1:19">
      <c r="A13" s="1030"/>
      <c r="B13" s="1015" t="s">
        <v>661</v>
      </c>
      <c r="C13" s="1032" t="str">
        <f>"OF 12-31-"&amp;TCOS!L4-1</f>
        <v>OF 12-31-2022</v>
      </c>
      <c r="D13" s="1032" t="str">
        <f>"OF 12-31-"&amp;TCOS!L4</f>
        <v>OF 12-31-2023</v>
      </c>
      <c r="E13" s="1032" t="str">
        <f>"OF 12-31-"&amp;TCOS!L4-1</f>
        <v>OF 12-31-2022</v>
      </c>
      <c r="F13" s="1032" t="str">
        <f>"OF 12-31-"&amp;TCOS!L4</f>
        <v>OF 12-31-2023</v>
      </c>
      <c r="G13" s="1032" t="s">
        <v>662</v>
      </c>
      <c r="H13" s="1032"/>
      <c r="I13" s="1032" t="s">
        <v>663</v>
      </c>
      <c r="J13" s="1032" t="s">
        <v>664</v>
      </c>
      <c r="K13" s="1032" t="s">
        <v>665</v>
      </c>
      <c r="L13" s="1032"/>
      <c r="M13" s="1015" t="s">
        <v>663</v>
      </c>
      <c r="N13" s="1015" t="s">
        <v>664</v>
      </c>
      <c r="O13" s="1015" t="s">
        <v>665</v>
      </c>
      <c r="P13" s="1013"/>
      <c r="Q13" s="1015" t="s">
        <v>663</v>
      </c>
      <c r="R13" s="1015" t="s">
        <v>664</v>
      </c>
      <c r="S13" s="1015" t="s">
        <v>665</v>
      </c>
    </row>
    <row r="14" spans="1:19">
      <c r="A14" s="1030"/>
      <c r="B14" s="1013"/>
      <c r="C14" s="1031"/>
      <c r="D14" s="1031"/>
      <c r="E14" s="1031"/>
      <c r="F14" s="1031"/>
      <c r="G14" s="1031"/>
      <c r="H14" s="1031"/>
      <c r="I14" s="1031"/>
      <c r="J14" s="1031"/>
      <c r="K14" s="1031"/>
      <c r="L14" s="1031"/>
      <c r="M14" s="1013"/>
      <c r="N14" s="1013"/>
      <c r="O14" s="1013"/>
      <c r="P14" s="1013"/>
      <c r="Q14" s="1013"/>
      <c r="R14" s="1013"/>
      <c r="S14" s="1013"/>
    </row>
    <row r="15" spans="1:19">
      <c r="A15" s="1037">
        <v>1</v>
      </c>
      <c r="B15" s="1025" t="s">
        <v>684</v>
      </c>
      <c r="C15" s="1021"/>
      <c r="D15" s="1021"/>
      <c r="E15" s="1021"/>
      <c r="F15" s="1022"/>
      <c r="G15" s="1021"/>
      <c r="H15" s="1021"/>
      <c r="I15" s="1021"/>
      <c r="J15" s="1021"/>
      <c r="K15" s="1021"/>
      <c r="L15" s="1021"/>
      <c r="M15" s="1021"/>
      <c r="N15" s="1021"/>
      <c r="O15" s="1021"/>
      <c r="P15" s="1021"/>
      <c r="Q15" s="1021"/>
      <c r="R15" s="1021"/>
      <c r="S15" s="1021"/>
    </row>
    <row r="16" spans="1:19">
      <c r="A16" s="1037"/>
      <c r="B16" s="1021"/>
      <c r="C16" s="1021"/>
      <c r="D16" s="1021"/>
      <c r="E16" s="1021"/>
      <c r="F16" s="1021"/>
      <c r="G16" s="1021"/>
      <c r="H16" s="1021"/>
      <c r="I16" s="1021"/>
      <c r="J16" s="1021"/>
      <c r="K16" s="1021"/>
      <c r="L16" s="1021"/>
      <c r="M16" s="1021"/>
      <c r="N16" s="1021"/>
      <c r="O16" s="1021"/>
      <c r="P16" s="1021"/>
      <c r="Q16" s="1021"/>
      <c r="R16" s="1021"/>
      <c r="S16" s="1021"/>
    </row>
    <row r="17" spans="1:19">
      <c r="A17" s="1043">
        <v>2.0099999999999998</v>
      </c>
      <c r="B17" s="1009" t="s">
        <v>895</v>
      </c>
      <c r="C17" s="1021">
        <f t="shared" ref="C17:C23" si="0">SUM(M17:O17)</f>
        <v>0</v>
      </c>
      <c r="D17" s="1021">
        <f t="shared" ref="D17:D23" si="1">SUM(Q17:S17)</f>
        <v>0</v>
      </c>
      <c r="E17" s="1021"/>
      <c r="F17" s="1021"/>
      <c r="G17" s="1021">
        <f t="shared" ref="G17:G23" si="2">ROUND(SUM(C17:F17)/2,0)</f>
        <v>0</v>
      </c>
      <c r="H17" s="1021"/>
      <c r="I17" s="1021">
        <f t="shared" ref="I17:K42" si="3">(M17+Q17)/2</f>
        <v>0</v>
      </c>
      <c r="J17" s="1021">
        <f t="shared" si="3"/>
        <v>0</v>
      </c>
      <c r="K17" s="1021">
        <f t="shared" si="3"/>
        <v>0</v>
      </c>
      <c r="L17" s="1021"/>
      <c r="M17" s="1009"/>
      <c r="N17" s="1009">
        <v>0</v>
      </c>
      <c r="O17" s="1009"/>
      <c r="P17" s="1021"/>
      <c r="Q17" s="1009"/>
      <c r="R17" s="1009">
        <v>0</v>
      </c>
      <c r="S17" s="1009"/>
    </row>
    <row r="18" spans="1:19">
      <c r="A18" s="1043">
        <f>A17+0.01</f>
        <v>2.0199999999999996</v>
      </c>
      <c r="B18" s="1009" t="s">
        <v>907</v>
      </c>
      <c r="C18" s="1021">
        <f t="shared" si="0"/>
        <v>83383.520000000004</v>
      </c>
      <c r="D18" s="1021">
        <f t="shared" si="1"/>
        <v>0.11</v>
      </c>
      <c r="E18" s="1021"/>
      <c r="F18" s="1021"/>
      <c r="G18" s="1021">
        <f t="shared" si="2"/>
        <v>41692</v>
      </c>
      <c r="H18" s="1021"/>
      <c r="I18" s="1021">
        <f t="shared" si="3"/>
        <v>0</v>
      </c>
      <c r="J18" s="1021">
        <f t="shared" si="3"/>
        <v>41691.815000000002</v>
      </c>
      <c r="K18" s="1021">
        <f t="shared" si="3"/>
        <v>0</v>
      </c>
      <c r="L18" s="1021"/>
      <c r="M18" s="1009"/>
      <c r="N18" s="1009">
        <v>83383.520000000004</v>
      </c>
      <c r="O18" s="1009"/>
      <c r="P18" s="1021"/>
      <c r="Q18" s="1009"/>
      <c r="R18" s="1009">
        <v>0.11</v>
      </c>
      <c r="S18" s="1009"/>
    </row>
    <row r="19" spans="1:19">
      <c r="A19" s="1043">
        <f t="shared" ref="A19:A50" si="4">A18+0.01</f>
        <v>2.0299999999999994</v>
      </c>
      <c r="B19" s="1009" t="s">
        <v>908</v>
      </c>
      <c r="C19" s="1021">
        <f t="shared" si="0"/>
        <v>0</v>
      </c>
      <c r="D19" s="1021">
        <f t="shared" si="1"/>
        <v>0</v>
      </c>
      <c r="E19" s="1021"/>
      <c r="F19" s="1021"/>
      <c r="G19" s="1021">
        <f t="shared" si="2"/>
        <v>0</v>
      </c>
      <c r="H19" s="1021"/>
      <c r="I19" s="1021">
        <f t="shared" si="3"/>
        <v>0</v>
      </c>
      <c r="J19" s="1021">
        <f t="shared" si="3"/>
        <v>0</v>
      </c>
      <c r="K19" s="1021">
        <f t="shared" si="3"/>
        <v>0</v>
      </c>
      <c r="L19" s="1021"/>
      <c r="M19" s="1009"/>
      <c r="N19" s="1009">
        <v>0</v>
      </c>
      <c r="O19" s="1009"/>
      <c r="P19" s="1021"/>
      <c r="Q19" s="1009"/>
      <c r="R19" s="1009">
        <v>0</v>
      </c>
      <c r="S19" s="1009"/>
    </row>
    <row r="20" spans="1:19">
      <c r="A20" s="1043">
        <f t="shared" si="4"/>
        <v>2.0399999999999991</v>
      </c>
      <c r="B20" s="1009" t="s">
        <v>896</v>
      </c>
      <c r="C20" s="1021">
        <f t="shared" si="0"/>
        <v>2683766</v>
      </c>
      <c r="D20" s="1021">
        <f t="shared" si="1"/>
        <v>11857108.890000001</v>
      </c>
      <c r="E20" s="1021"/>
      <c r="F20" s="1021"/>
      <c r="G20" s="1021">
        <f t="shared" si="2"/>
        <v>7270437</v>
      </c>
      <c r="H20" s="1021"/>
      <c r="I20" s="1021">
        <f t="shared" si="3"/>
        <v>0</v>
      </c>
      <c r="J20" s="1021">
        <f t="shared" si="3"/>
        <v>7270437.4450000003</v>
      </c>
      <c r="K20" s="1021">
        <f t="shared" si="3"/>
        <v>0</v>
      </c>
      <c r="L20" s="1021"/>
      <c r="M20" s="1009"/>
      <c r="N20" s="1009">
        <v>2683766</v>
      </c>
      <c r="O20" s="1009"/>
      <c r="P20" s="1021"/>
      <c r="Q20" s="1009"/>
      <c r="R20" s="1009">
        <v>11857108.890000001</v>
      </c>
      <c r="S20" s="1009"/>
    </row>
    <row r="21" spans="1:19">
      <c r="A21" s="1043">
        <f t="shared" si="4"/>
        <v>2.0499999999999989</v>
      </c>
      <c r="B21" s="1009" t="s">
        <v>897</v>
      </c>
      <c r="C21" s="1021">
        <f t="shared" si="0"/>
        <v>0.21</v>
      </c>
      <c r="D21" s="1021">
        <f t="shared" si="1"/>
        <v>0.21</v>
      </c>
      <c r="E21" s="1021"/>
      <c r="F21" s="1021"/>
      <c r="G21" s="1021">
        <f t="shared" si="2"/>
        <v>0</v>
      </c>
      <c r="H21" s="1021"/>
      <c r="I21" s="1021">
        <f t="shared" si="3"/>
        <v>0</v>
      </c>
      <c r="J21" s="1021">
        <f t="shared" si="3"/>
        <v>0.21</v>
      </c>
      <c r="K21" s="1021">
        <f t="shared" si="3"/>
        <v>0</v>
      </c>
      <c r="L21" s="1021"/>
      <c r="M21" s="1009"/>
      <c r="N21" s="1009">
        <v>0.21</v>
      </c>
      <c r="O21" s="1009"/>
      <c r="P21" s="1021"/>
      <c r="Q21" s="1009"/>
      <c r="R21" s="1009">
        <v>0.21</v>
      </c>
      <c r="S21" s="1009"/>
    </row>
    <row r="22" spans="1:19">
      <c r="A22" s="1043">
        <f t="shared" si="4"/>
        <v>2.0599999999999987</v>
      </c>
      <c r="B22" s="1009" t="s">
        <v>898</v>
      </c>
      <c r="C22" s="1021">
        <f t="shared" si="0"/>
        <v>-89066.7</v>
      </c>
      <c r="D22" s="1021">
        <f t="shared" si="1"/>
        <v>0</v>
      </c>
      <c r="E22" s="1021"/>
      <c r="F22" s="1021"/>
      <c r="G22" s="1021">
        <f t="shared" si="2"/>
        <v>-44533</v>
      </c>
      <c r="H22" s="1021"/>
      <c r="I22" s="1021">
        <f t="shared" si="3"/>
        <v>0</v>
      </c>
      <c r="J22" s="1021">
        <f t="shared" si="3"/>
        <v>-44533.35</v>
      </c>
      <c r="K22" s="1021">
        <f t="shared" si="3"/>
        <v>0</v>
      </c>
      <c r="L22" s="1021"/>
      <c r="M22" s="1009"/>
      <c r="N22" s="1009">
        <v>-89066.7</v>
      </c>
      <c r="O22" s="1009"/>
      <c r="P22" s="1021"/>
      <c r="Q22" s="1009"/>
      <c r="R22" s="1009">
        <v>0</v>
      </c>
      <c r="S22" s="1009"/>
    </row>
    <row r="23" spans="1:19">
      <c r="A23" s="1043">
        <f t="shared" si="4"/>
        <v>2.0699999999999985</v>
      </c>
      <c r="B23" s="1009" t="s">
        <v>673</v>
      </c>
      <c r="C23" s="1021">
        <f t="shared" si="0"/>
        <v>1022657.16</v>
      </c>
      <c r="D23" s="1021">
        <f t="shared" si="1"/>
        <v>0</v>
      </c>
      <c r="E23" s="1021"/>
      <c r="F23" s="1021"/>
      <c r="G23" s="1021">
        <f t="shared" si="2"/>
        <v>511329</v>
      </c>
      <c r="H23" s="1021"/>
      <c r="I23" s="1021">
        <f t="shared" si="3"/>
        <v>0</v>
      </c>
      <c r="J23" s="1021">
        <f t="shared" si="3"/>
        <v>511328.58</v>
      </c>
      <c r="K23" s="1021">
        <f t="shared" si="3"/>
        <v>0</v>
      </c>
      <c r="L23" s="1021"/>
      <c r="M23" s="1009"/>
      <c r="N23" s="1009">
        <v>1022657.16</v>
      </c>
      <c r="O23" s="1009"/>
      <c r="P23" s="1021"/>
      <c r="Q23" s="1009"/>
      <c r="R23" s="1009">
        <v>0</v>
      </c>
      <c r="S23" s="1009"/>
    </row>
    <row r="24" spans="1:19">
      <c r="A24" s="1043">
        <f t="shared" si="4"/>
        <v>2.0799999999999983</v>
      </c>
      <c r="B24" s="1009" t="s">
        <v>1077</v>
      </c>
      <c r="C24" s="1021">
        <f t="shared" ref="C24:C41" si="5">SUM(M24:O24)</f>
        <v>0</v>
      </c>
      <c r="D24" s="1021">
        <f t="shared" ref="D24:D41" si="6">SUM(Q24:S24)</f>
        <v>1002188.99</v>
      </c>
      <c r="E24" s="1021"/>
      <c r="F24" s="1021"/>
      <c r="G24" s="1021">
        <f t="shared" ref="G24:G41" si="7">ROUND(SUM(C24:F24)/2,0)</f>
        <v>501094</v>
      </c>
      <c r="H24" s="1021"/>
      <c r="I24" s="1021">
        <f t="shared" ref="I24:I41" si="8">(M24+Q24)/2</f>
        <v>0</v>
      </c>
      <c r="J24" s="1021">
        <f t="shared" ref="J24:J41" si="9">(N24+R24)/2</f>
        <v>501094.495</v>
      </c>
      <c r="K24" s="1021">
        <f t="shared" ref="K24:K41" si="10">(O24+S24)/2</f>
        <v>0</v>
      </c>
      <c r="L24" s="1021"/>
      <c r="M24" s="1009"/>
      <c r="N24" s="1009">
        <v>0</v>
      </c>
      <c r="O24" s="1009"/>
      <c r="P24" s="1021"/>
      <c r="Q24" s="1009"/>
      <c r="R24" s="1009">
        <v>1002188.99</v>
      </c>
      <c r="S24" s="1009"/>
    </row>
    <row r="25" spans="1:19">
      <c r="A25" s="1043">
        <f t="shared" si="4"/>
        <v>2.0899999999999981</v>
      </c>
      <c r="B25" s="1009" t="s">
        <v>1078</v>
      </c>
      <c r="C25" s="1021">
        <f t="shared" si="5"/>
        <v>0</v>
      </c>
      <c r="D25" s="1021">
        <f t="shared" si="6"/>
        <v>109.21000000000001</v>
      </c>
      <c r="E25" s="1021"/>
      <c r="F25" s="1021"/>
      <c r="G25" s="1021">
        <f t="shared" si="7"/>
        <v>55</v>
      </c>
      <c r="H25" s="1021"/>
      <c r="I25" s="1021">
        <f t="shared" si="8"/>
        <v>0</v>
      </c>
      <c r="J25" s="1021">
        <f t="shared" si="9"/>
        <v>54.605000000000004</v>
      </c>
      <c r="K25" s="1021">
        <f t="shared" si="10"/>
        <v>0</v>
      </c>
      <c r="L25" s="1021"/>
      <c r="M25" s="1009"/>
      <c r="N25" s="1009">
        <v>0</v>
      </c>
      <c r="O25" s="1009"/>
      <c r="P25" s="1021"/>
      <c r="Q25" s="1009"/>
      <c r="R25" s="1009">
        <v>109.21000000000001</v>
      </c>
      <c r="S25" s="1009"/>
    </row>
    <row r="26" spans="1:19">
      <c r="A26" s="1043">
        <f t="shared" si="4"/>
        <v>2.0999999999999979</v>
      </c>
      <c r="B26" s="1009" t="s">
        <v>873</v>
      </c>
      <c r="C26" s="1021">
        <f t="shared" si="5"/>
        <v>0</v>
      </c>
      <c r="D26" s="1021">
        <f t="shared" si="6"/>
        <v>687.75</v>
      </c>
      <c r="E26" s="1021"/>
      <c r="F26" s="1021"/>
      <c r="G26" s="1021">
        <f t="shared" si="7"/>
        <v>344</v>
      </c>
      <c r="H26" s="1021"/>
      <c r="I26" s="1021">
        <f t="shared" si="8"/>
        <v>0</v>
      </c>
      <c r="J26" s="1021">
        <f t="shared" si="9"/>
        <v>343.875</v>
      </c>
      <c r="K26" s="1021">
        <f t="shared" si="10"/>
        <v>0</v>
      </c>
      <c r="L26" s="1021"/>
      <c r="M26" s="1009"/>
      <c r="N26" s="1009">
        <v>0</v>
      </c>
      <c r="O26" s="1009"/>
      <c r="P26" s="1021"/>
      <c r="Q26" s="1009"/>
      <c r="R26" s="1009">
        <v>687.75</v>
      </c>
      <c r="S26" s="1009"/>
    </row>
    <row r="27" spans="1:19">
      <c r="A27" s="1043">
        <f t="shared" si="4"/>
        <v>2.1099999999999977</v>
      </c>
      <c r="B27" s="1009" t="s">
        <v>874</v>
      </c>
      <c r="C27" s="1021">
        <f t="shared" si="5"/>
        <v>0</v>
      </c>
      <c r="D27" s="1021">
        <f t="shared" si="6"/>
        <v>45305.279999999999</v>
      </c>
      <c r="E27" s="1021"/>
      <c r="F27" s="1021"/>
      <c r="G27" s="1021">
        <f t="shared" si="7"/>
        <v>22653</v>
      </c>
      <c r="H27" s="1021"/>
      <c r="I27" s="1021">
        <f t="shared" si="8"/>
        <v>0</v>
      </c>
      <c r="J27" s="1021">
        <f t="shared" si="9"/>
        <v>22652.639999999999</v>
      </c>
      <c r="K27" s="1021">
        <f t="shared" si="10"/>
        <v>0</v>
      </c>
      <c r="L27" s="1021"/>
      <c r="M27" s="1009"/>
      <c r="N27" s="1009">
        <v>0</v>
      </c>
      <c r="O27" s="1009"/>
      <c r="P27" s="1021"/>
      <c r="Q27" s="1009"/>
      <c r="R27" s="1009">
        <v>45305.279999999999</v>
      </c>
      <c r="S27" s="1009"/>
    </row>
    <row r="28" spans="1:19">
      <c r="A28" s="1043">
        <f t="shared" si="4"/>
        <v>2.1199999999999974</v>
      </c>
      <c r="B28" s="1009" t="s">
        <v>875</v>
      </c>
      <c r="C28" s="1021">
        <f t="shared" si="5"/>
        <v>0</v>
      </c>
      <c r="D28" s="1021">
        <f t="shared" si="6"/>
        <v>-93359.650000000009</v>
      </c>
      <c r="E28" s="1021"/>
      <c r="F28" s="1021"/>
      <c r="G28" s="1021">
        <f t="shared" si="7"/>
        <v>-46680</v>
      </c>
      <c r="H28" s="1021"/>
      <c r="I28" s="1021">
        <f t="shared" si="8"/>
        <v>0</v>
      </c>
      <c r="J28" s="1021">
        <f t="shared" si="9"/>
        <v>-46679.825000000004</v>
      </c>
      <c r="K28" s="1021">
        <f t="shared" si="10"/>
        <v>0</v>
      </c>
      <c r="L28" s="1021"/>
      <c r="M28" s="1009"/>
      <c r="N28" s="1009">
        <v>0</v>
      </c>
      <c r="O28" s="1009"/>
      <c r="P28" s="1021"/>
      <c r="Q28" s="1009"/>
      <c r="R28" s="1009">
        <v>-93359.650000000009</v>
      </c>
      <c r="S28" s="1009"/>
    </row>
    <row r="29" spans="1:19">
      <c r="A29" s="1043">
        <f t="shared" si="4"/>
        <v>2.1299999999999972</v>
      </c>
      <c r="B29" s="1009" t="s">
        <v>876</v>
      </c>
      <c r="C29" s="1021">
        <f t="shared" si="5"/>
        <v>0</v>
      </c>
      <c r="D29" s="1021">
        <f t="shared" si="6"/>
        <v>-5439.78</v>
      </c>
      <c r="E29" s="1021"/>
      <c r="F29" s="1021"/>
      <c r="G29" s="1021">
        <f t="shared" si="7"/>
        <v>-2720</v>
      </c>
      <c r="H29" s="1021"/>
      <c r="I29" s="1021">
        <f t="shared" si="8"/>
        <v>0</v>
      </c>
      <c r="J29" s="1021">
        <f t="shared" si="9"/>
        <v>-2719.89</v>
      </c>
      <c r="K29" s="1021">
        <f t="shared" si="10"/>
        <v>0</v>
      </c>
      <c r="L29" s="1021"/>
      <c r="M29" s="1009"/>
      <c r="N29" s="1009">
        <v>0</v>
      </c>
      <c r="O29" s="1009"/>
      <c r="P29" s="1021"/>
      <c r="Q29" s="1009"/>
      <c r="R29" s="1009">
        <v>-5439.78</v>
      </c>
      <c r="S29" s="1009"/>
    </row>
    <row r="30" spans="1:19">
      <c r="A30" s="1043">
        <f t="shared" si="4"/>
        <v>2.139999999999997</v>
      </c>
      <c r="B30" s="1009" t="s">
        <v>877</v>
      </c>
      <c r="C30" s="1021">
        <f t="shared" si="5"/>
        <v>0</v>
      </c>
      <c r="D30" s="1021">
        <f t="shared" si="6"/>
        <v>31484.600000000002</v>
      </c>
      <c r="E30" s="1021"/>
      <c r="F30" s="1021"/>
      <c r="G30" s="1021">
        <f t="shared" si="7"/>
        <v>15742</v>
      </c>
      <c r="H30" s="1021"/>
      <c r="I30" s="1021">
        <f t="shared" si="8"/>
        <v>0</v>
      </c>
      <c r="J30" s="1021">
        <f t="shared" si="9"/>
        <v>15742.300000000001</v>
      </c>
      <c r="K30" s="1021">
        <f t="shared" si="10"/>
        <v>0</v>
      </c>
      <c r="L30" s="1021"/>
      <c r="M30" s="1009"/>
      <c r="N30" s="1009">
        <v>0</v>
      </c>
      <c r="O30" s="1009"/>
      <c r="P30" s="1021"/>
      <c r="Q30" s="1009"/>
      <c r="R30" s="1009">
        <v>31484.600000000002</v>
      </c>
      <c r="S30" s="1009"/>
    </row>
    <row r="31" spans="1:19">
      <c r="A31" s="1043">
        <f t="shared" si="4"/>
        <v>2.1499999999999968</v>
      </c>
      <c r="B31" s="1009" t="s">
        <v>878</v>
      </c>
      <c r="C31" s="1021">
        <f t="shared" si="5"/>
        <v>0</v>
      </c>
      <c r="D31" s="1021">
        <f t="shared" si="6"/>
        <v>75.86</v>
      </c>
      <c r="E31" s="1021"/>
      <c r="F31" s="1021"/>
      <c r="G31" s="1021">
        <f t="shared" si="7"/>
        <v>38</v>
      </c>
      <c r="H31" s="1021"/>
      <c r="I31" s="1021">
        <f t="shared" si="8"/>
        <v>0</v>
      </c>
      <c r="J31" s="1021">
        <f t="shared" si="9"/>
        <v>37.93</v>
      </c>
      <c r="K31" s="1021">
        <f t="shared" si="10"/>
        <v>0</v>
      </c>
      <c r="L31" s="1021"/>
      <c r="M31" s="1009"/>
      <c r="N31" s="1009">
        <v>0</v>
      </c>
      <c r="O31" s="1009"/>
      <c r="P31" s="1021"/>
      <c r="Q31" s="1009"/>
      <c r="R31" s="1009">
        <v>75.86</v>
      </c>
      <c r="S31" s="1009"/>
    </row>
    <row r="32" spans="1:19">
      <c r="A32" s="1043">
        <f t="shared" si="4"/>
        <v>2.1599999999999966</v>
      </c>
      <c r="B32" s="1009" t="s">
        <v>879</v>
      </c>
      <c r="C32" s="1021">
        <f t="shared" si="5"/>
        <v>0</v>
      </c>
      <c r="D32" s="1021">
        <f t="shared" si="6"/>
        <v>518.85</v>
      </c>
      <c r="E32" s="1021"/>
      <c r="F32" s="1021"/>
      <c r="G32" s="1021">
        <f t="shared" si="7"/>
        <v>259</v>
      </c>
      <c r="H32" s="1021"/>
      <c r="I32" s="1021">
        <f t="shared" si="8"/>
        <v>0</v>
      </c>
      <c r="J32" s="1021">
        <f t="shared" si="9"/>
        <v>259.42500000000001</v>
      </c>
      <c r="K32" s="1021">
        <f t="shared" si="10"/>
        <v>0</v>
      </c>
      <c r="L32" s="1021"/>
      <c r="M32" s="1009"/>
      <c r="N32" s="1009">
        <v>0</v>
      </c>
      <c r="O32" s="1009"/>
      <c r="P32" s="1021"/>
      <c r="Q32" s="1009"/>
      <c r="R32" s="1009">
        <v>518.85</v>
      </c>
      <c r="S32" s="1009"/>
    </row>
    <row r="33" spans="1:19">
      <c r="A33" s="1043">
        <f t="shared" si="4"/>
        <v>2.1699999999999964</v>
      </c>
      <c r="B33" s="1009" t="s">
        <v>976</v>
      </c>
      <c r="C33" s="1021">
        <f t="shared" si="5"/>
        <v>0</v>
      </c>
      <c r="D33" s="1021">
        <f t="shared" si="6"/>
        <v>253.79</v>
      </c>
      <c r="E33" s="1021"/>
      <c r="F33" s="1021"/>
      <c r="G33" s="1021">
        <f t="shared" si="7"/>
        <v>127</v>
      </c>
      <c r="H33" s="1021"/>
      <c r="I33" s="1021">
        <f t="shared" si="8"/>
        <v>0</v>
      </c>
      <c r="J33" s="1021">
        <f t="shared" si="9"/>
        <v>126.895</v>
      </c>
      <c r="K33" s="1021">
        <f t="shared" si="10"/>
        <v>0</v>
      </c>
      <c r="L33" s="1021"/>
      <c r="M33" s="1009"/>
      <c r="N33" s="1009">
        <v>0</v>
      </c>
      <c r="O33" s="1009"/>
      <c r="P33" s="1021"/>
      <c r="Q33" s="1009"/>
      <c r="R33" s="1009">
        <v>253.79</v>
      </c>
      <c r="S33" s="1009"/>
    </row>
    <row r="34" spans="1:19">
      <c r="A34" s="1043">
        <f t="shared" si="4"/>
        <v>2.1799999999999962</v>
      </c>
      <c r="B34" s="1009" t="s">
        <v>1073</v>
      </c>
      <c r="C34" s="1021">
        <f t="shared" si="5"/>
        <v>0</v>
      </c>
      <c r="D34" s="1021">
        <f t="shared" si="6"/>
        <v>837.1</v>
      </c>
      <c r="E34" s="1021"/>
      <c r="F34" s="1021"/>
      <c r="G34" s="1021">
        <f t="shared" si="7"/>
        <v>419</v>
      </c>
      <c r="H34" s="1021"/>
      <c r="I34" s="1021">
        <f t="shared" si="8"/>
        <v>0</v>
      </c>
      <c r="J34" s="1021">
        <f t="shared" si="9"/>
        <v>418.55</v>
      </c>
      <c r="K34" s="1021">
        <f t="shared" si="10"/>
        <v>0</v>
      </c>
      <c r="L34" s="1021"/>
      <c r="M34" s="1009"/>
      <c r="N34" s="1009">
        <v>0</v>
      </c>
      <c r="O34" s="1009"/>
      <c r="P34" s="1021"/>
      <c r="Q34" s="1009"/>
      <c r="R34" s="1009">
        <v>837.1</v>
      </c>
      <c r="S34" s="1009"/>
    </row>
    <row r="35" spans="1:19">
      <c r="A35" s="1043">
        <f t="shared" si="4"/>
        <v>2.1899999999999959</v>
      </c>
      <c r="B35" s="1009" t="s">
        <v>880</v>
      </c>
      <c r="C35" s="1021">
        <f t="shared" si="5"/>
        <v>0</v>
      </c>
      <c r="D35" s="1021">
        <f t="shared" si="6"/>
        <v>14160.42</v>
      </c>
      <c r="E35" s="1021"/>
      <c r="F35" s="1021"/>
      <c r="G35" s="1021">
        <f t="shared" si="7"/>
        <v>7080</v>
      </c>
      <c r="H35" s="1021"/>
      <c r="I35" s="1021">
        <f t="shared" si="8"/>
        <v>0</v>
      </c>
      <c r="J35" s="1021">
        <f t="shared" si="9"/>
        <v>7080.21</v>
      </c>
      <c r="K35" s="1021">
        <f t="shared" si="10"/>
        <v>0</v>
      </c>
      <c r="L35" s="1021"/>
      <c r="M35" s="1009"/>
      <c r="N35" s="1009">
        <v>0</v>
      </c>
      <c r="O35" s="1009"/>
      <c r="P35" s="1021"/>
      <c r="Q35" s="1009"/>
      <c r="R35" s="1009">
        <v>14160.42</v>
      </c>
      <c r="S35" s="1009"/>
    </row>
    <row r="36" spans="1:19">
      <c r="A36" s="1043">
        <f t="shared" si="4"/>
        <v>2.1999999999999957</v>
      </c>
      <c r="B36" s="1009" t="s">
        <v>1079</v>
      </c>
      <c r="C36" s="1021">
        <f t="shared" si="5"/>
        <v>0</v>
      </c>
      <c r="D36" s="1021">
        <f t="shared" si="6"/>
        <v>-7807.72</v>
      </c>
      <c r="E36" s="1021"/>
      <c r="F36" s="1021"/>
      <c r="G36" s="1021">
        <f t="shared" si="7"/>
        <v>-3904</v>
      </c>
      <c r="H36" s="1021"/>
      <c r="I36" s="1021">
        <f t="shared" si="8"/>
        <v>0</v>
      </c>
      <c r="J36" s="1021">
        <f t="shared" si="9"/>
        <v>-3903.86</v>
      </c>
      <c r="K36" s="1021">
        <f t="shared" si="10"/>
        <v>0</v>
      </c>
      <c r="L36" s="1021"/>
      <c r="M36" s="1009"/>
      <c r="N36" s="1009">
        <v>0</v>
      </c>
      <c r="O36" s="1009"/>
      <c r="P36" s="1021"/>
      <c r="Q36" s="1009"/>
      <c r="R36" s="1009">
        <v>-7807.72</v>
      </c>
      <c r="S36" s="1009"/>
    </row>
    <row r="37" spans="1:19">
      <c r="A37" s="1043">
        <f t="shared" si="4"/>
        <v>2.2099999999999955</v>
      </c>
      <c r="B37" s="1009" t="s">
        <v>1080</v>
      </c>
      <c r="C37" s="1021">
        <f t="shared" si="5"/>
        <v>0</v>
      </c>
      <c r="D37" s="1021">
        <f t="shared" si="6"/>
        <v>-135160.15</v>
      </c>
      <c r="E37" s="1021"/>
      <c r="F37" s="1021"/>
      <c r="G37" s="1021">
        <f t="shared" si="7"/>
        <v>-67580</v>
      </c>
      <c r="H37" s="1021"/>
      <c r="I37" s="1021">
        <f t="shared" si="8"/>
        <v>0</v>
      </c>
      <c r="J37" s="1021">
        <f t="shared" si="9"/>
        <v>-67580.074999999997</v>
      </c>
      <c r="K37" s="1021">
        <f t="shared" si="10"/>
        <v>0</v>
      </c>
      <c r="L37" s="1021"/>
      <c r="M37" s="1009"/>
      <c r="N37" s="1009">
        <v>0</v>
      </c>
      <c r="O37" s="1009"/>
      <c r="P37" s="1021"/>
      <c r="Q37" s="1009"/>
      <c r="R37" s="1009">
        <v>-135160.15</v>
      </c>
      <c r="S37" s="1009"/>
    </row>
    <row r="38" spans="1:19">
      <c r="A38" s="1043">
        <f t="shared" si="4"/>
        <v>2.2199999999999953</v>
      </c>
      <c r="B38" s="1009" t="s">
        <v>977</v>
      </c>
      <c r="C38" s="1021">
        <f t="shared" si="5"/>
        <v>0</v>
      </c>
      <c r="D38" s="1021">
        <f t="shared" si="6"/>
        <v>-339.01</v>
      </c>
      <c r="E38" s="1021"/>
      <c r="F38" s="1021"/>
      <c r="G38" s="1021">
        <f t="shared" si="7"/>
        <v>-170</v>
      </c>
      <c r="H38" s="1021"/>
      <c r="I38" s="1021">
        <f t="shared" si="8"/>
        <v>0</v>
      </c>
      <c r="J38" s="1021">
        <f t="shared" si="9"/>
        <v>-169.505</v>
      </c>
      <c r="K38" s="1021">
        <f t="shared" si="10"/>
        <v>0</v>
      </c>
      <c r="L38" s="1021"/>
      <c r="M38" s="1009"/>
      <c r="N38" s="1009">
        <v>0</v>
      </c>
      <c r="O38" s="1009"/>
      <c r="P38" s="1021"/>
      <c r="Q38" s="1009"/>
      <c r="R38" s="1009">
        <v>-339.01</v>
      </c>
      <c r="S38" s="1009"/>
    </row>
    <row r="39" spans="1:19">
      <c r="A39" s="1043">
        <f t="shared" si="4"/>
        <v>2.2299999999999951</v>
      </c>
      <c r="B39" s="1009" t="s">
        <v>1081</v>
      </c>
      <c r="C39" s="1021">
        <f t="shared" si="5"/>
        <v>0</v>
      </c>
      <c r="D39" s="1021">
        <f t="shared" si="6"/>
        <v>770.1</v>
      </c>
      <c r="E39" s="1021"/>
      <c r="F39" s="1021"/>
      <c r="G39" s="1021">
        <f t="shared" si="7"/>
        <v>385</v>
      </c>
      <c r="H39" s="1021"/>
      <c r="I39" s="1021">
        <f t="shared" si="8"/>
        <v>0</v>
      </c>
      <c r="J39" s="1021">
        <f t="shared" si="9"/>
        <v>385.05</v>
      </c>
      <c r="K39" s="1021">
        <f t="shared" si="10"/>
        <v>0</v>
      </c>
      <c r="L39" s="1021"/>
      <c r="M39" s="1009"/>
      <c r="N39" s="1009">
        <v>0</v>
      </c>
      <c r="O39" s="1009"/>
      <c r="P39" s="1021"/>
      <c r="Q39" s="1009"/>
      <c r="R39" s="1009">
        <v>770.1</v>
      </c>
      <c r="S39" s="1009"/>
    </row>
    <row r="40" spans="1:19">
      <c r="A40" s="1043">
        <f t="shared" si="4"/>
        <v>2.2399999999999949</v>
      </c>
      <c r="B40" s="1009" t="s">
        <v>899</v>
      </c>
      <c r="C40" s="1021">
        <f t="shared" si="5"/>
        <v>0</v>
      </c>
      <c r="D40" s="1021">
        <f t="shared" si="6"/>
        <v>0</v>
      </c>
      <c r="E40" s="1021"/>
      <c r="F40" s="1021"/>
      <c r="G40" s="1021">
        <f t="shared" si="7"/>
        <v>0</v>
      </c>
      <c r="H40" s="1021"/>
      <c r="I40" s="1021">
        <f t="shared" si="8"/>
        <v>0</v>
      </c>
      <c r="J40" s="1021">
        <f t="shared" si="9"/>
        <v>0</v>
      </c>
      <c r="K40" s="1021">
        <f t="shared" si="10"/>
        <v>0</v>
      </c>
      <c r="L40" s="1021"/>
      <c r="M40" s="1009"/>
      <c r="N40" s="1009">
        <v>0</v>
      </c>
      <c r="O40" s="1009"/>
      <c r="P40" s="1021"/>
      <c r="Q40" s="1009"/>
      <c r="R40" s="1009">
        <v>0</v>
      </c>
      <c r="S40" s="1009"/>
    </row>
    <row r="41" spans="1:19">
      <c r="A41" s="1043">
        <f t="shared" si="4"/>
        <v>2.2499999999999947</v>
      </c>
      <c r="B41" s="1009" t="s">
        <v>900</v>
      </c>
      <c r="C41" s="1021">
        <f t="shared" si="5"/>
        <v>0</v>
      </c>
      <c r="D41" s="1021">
        <f t="shared" si="6"/>
        <v>0</v>
      </c>
      <c r="E41" s="1021"/>
      <c r="F41" s="1021"/>
      <c r="G41" s="1021">
        <f t="shared" si="7"/>
        <v>0</v>
      </c>
      <c r="H41" s="1021"/>
      <c r="I41" s="1021">
        <f t="shared" si="8"/>
        <v>0</v>
      </c>
      <c r="J41" s="1021">
        <f t="shared" si="9"/>
        <v>0</v>
      </c>
      <c r="K41" s="1021">
        <f t="shared" si="10"/>
        <v>0</v>
      </c>
      <c r="L41" s="1021"/>
      <c r="M41" s="1009"/>
      <c r="N41" s="1009">
        <v>0</v>
      </c>
      <c r="O41" s="1009"/>
      <c r="P41" s="1021"/>
      <c r="Q41" s="1009"/>
      <c r="R41" s="1009">
        <v>0</v>
      </c>
      <c r="S41" s="1009"/>
    </row>
    <row r="42" spans="1:19">
      <c r="A42" s="1043">
        <f t="shared" si="4"/>
        <v>2.2599999999999945</v>
      </c>
      <c r="B42" s="1410" t="s">
        <v>999</v>
      </c>
      <c r="C42" s="1410">
        <f>SUM(M42:O42)</f>
        <v>67265724.050141007</v>
      </c>
      <c r="D42" s="1410">
        <f>SUM(Q42:S42)</f>
        <v>25141769.679041002</v>
      </c>
      <c r="E42" s="1411"/>
      <c r="F42" s="1411"/>
      <c r="G42" s="1412">
        <f>ROUND(SUM(C42:F42)/2,0)</f>
        <v>46203747</v>
      </c>
      <c r="H42" s="1412"/>
      <c r="I42" s="1412">
        <f t="shared" si="3"/>
        <v>0</v>
      </c>
      <c r="J42" s="1412">
        <f t="shared" si="3"/>
        <v>46203746.864591002</v>
      </c>
      <c r="K42" s="1412">
        <f t="shared" si="3"/>
        <v>0</v>
      </c>
      <c r="L42" s="1021"/>
      <c r="M42" s="1009"/>
      <c r="N42" s="1009">
        <v>67265724.050141007</v>
      </c>
      <c r="O42" s="1009"/>
      <c r="P42" s="1021"/>
      <c r="Q42" s="1009"/>
      <c r="R42" s="1009">
        <v>25141769.679041002</v>
      </c>
      <c r="S42" s="1009"/>
    </row>
    <row r="43" spans="1:19">
      <c r="A43" s="1043">
        <f t="shared" si="4"/>
        <v>2.2699999999999942</v>
      </c>
      <c r="B43" s="1410" t="s">
        <v>1000</v>
      </c>
      <c r="C43" s="1410">
        <f>-E43</f>
        <v>-67265724.050141007</v>
      </c>
      <c r="D43" s="1410">
        <f>-F43</f>
        <v>-25141769.679041002</v>
      </c>
      <c r="E43" s="1411">
        <f>C42</f>
        <v>67265724.050141007</v>
      </c>
      <c r="F43" s="1411">
        <f>D42</f>
        <v>25141769.679041002</v>
      </c>
      <c r="G43" s="1412">
        <f>ROUND(SUM(C43:F43)/2,0)</f>
        <v>0</v>
      </c>
      <c r="H43" s="1412"/>
      <c r="I43" s="1412"/>
      <c r="J43" s="1412"/>
      <c r="K43" s="1412"/>
      <c r="L43" s="1021"/>
      <c r="M43" s="1009"/>
      <c r="N43" s="1009"/>
      <c r="O43" s="1009"/>
      <c r="P43" s="1021"/>
      <c r="Q43" s="1009"/>
      <c r="R43" s="1009"/>
      <c r="S43" s="1009"/>
    </row>
    <row r="44" spans="1:19">
      <c r="A44" s="1043">
        <f t="shared" si="4"/>
        <v>2.279999999999994</v>
      </c>
      <c r="B44" s="1009" t="s">
        <v>884</v>
      </c>
      <c r="C44" s="1009">
        <f t="shared" ref="C44:D49" si="11">-E44</f>
        <v>272937.55</v>
      </c>
      <c r="D44" s="1009">
        <f t="shared" si="11"/>
        <v>-0.01</v>
      </c>
      <c r="E44" s="1021">
        <v>-272937.55</v>
      </c>
      <c r="F44" s="1021">
        <v>0.01</v>
      </c>
      <c r="G44" s="1021">
        <f t="shared" ref="G44:G49" si="12">ROUND(SUM(C44:F44)/2,0)</f>
        <v>0</v>
      </c>
      <c r="H44" s="1021"/>
      <c r="I44" s="1021"/>
      <c r="J44" s="1021"/>
      <c r="K44" s="1021"/>
      <c r="L44" s="1021"/>
      <c r="M44" s="1021"/>
      <c r="N44" s="1021"/>
      <c r="O44" s="1021"/>
      <c r="P44" s="1021"/>
      <c r="Q44" s="1021"/>
      <c r="R44" s="1021"/>
      <c r="S44" s="1021"/>
    </row>
    <row r="45" spans="1:19">
      <c r="A45" s="1043">
        <f t="shared" si="4"/>
        <v>2.2899999999999938</v>
      </c>
      <c r="B45" s="1009" t="s">
        <v>901</v>
      </c>
      <c r="C45" s="1009">
        <f t="shared" si="11"/>
        <v>-0.02</v>
      </c>
      <c r="D45" s="1009">
        <f t="shared" si="11"/>
        <v>157847.56</v>
      </c>
      <c r="E45" s="1021">
        <v>0.02</v>
      </c>
      <c r="F45" s="1021">
        <v>-157847.56</v>
      </c>
      <c r="G45" s="1021">
        <f t="shared" si="12"/>
        <v>0</v>
      </c>
      <c r="H45" s="1021"/>
      <c r="I45" s="1021"/>
      <c r="J45" s="1021"/>
      <c r="K45" s="1021"/>
      <c r="L45" s="1021"/>
      <c r="M45" s="1021"/>
      <c r="N45" s="1021"/>
      <c r="O45" s="1021"/>
      <c r="P45" s="1021"/>
      <c r="Q45" s="1021"/>
      <c r="R45" s="1021"/>
      <c r="S45" s="1021"/>
    </row>
    <row r="46" spans="1:19">
      <c r="A46" s="1043">
        <f t="shared" si="4"/>
        <v>2.2999999999999936</v>
      </c>
      <c r="B46" s="1009" t="s">
        <v>902</v>
      </c>
      <c r="C46" s="1009">
        <f t="shared" si="11"/>
        <v>45402046.119999997</v>
      </c>
      <c r="D46" s="1009">
        <f t="shared" si="11"/>
        <v>45440143.420000002</v>
      </c>
      <c r="E46" s="1021">
        <v>-45402046.119999997</v>
      </c>
      <c r="F46" s="1021">
        <v>-45440143.420000002</v>
      </c>
      <c r="G46" s="1021">
        <f t="shared" si="12"/>
        <v>0</v>
      </c>
      <c r="H46" s="1021"/>
      <c r="I46" s="1021"/>
      <c r="J46" s="1021"/>
      <c r="K46" s="1021"/>
      <c r="L46" s="1021"/>
      <c r="M46" s="1021"/>
      <c r="N46" s="1021"/>
      <c r="O46" s="1021"/>
      <c r="P46" s="1021"/>
      <c r="Q46" s="1021"/>
      <c r="R46" s="1021"/>
      <c r="S46" s="1021"/>
    </row>
    <row r="47" spans="1:19">
      <c r="A47" s="1043">
        <f t="shared" si="4"/>
        <v>2.3099999999999934</v>
      </c>
      <c r="B47" s="1009" t="s">
        <v>903</v>
      </c>
      <c r="C47" s="1009">
        <f t="shared" si="11"/>
        <v>0</v>
      </c>
      <c r="D47" s="1009">
        <f t="shared" si="11"/>
        <v>0</v>
      </c>
      <c r="E47" s="1021">
        <v>0</v>
      </c>
      <c r="F47" s="1021">
        <v>0</v>
      </c>
      <c r="G47" s="1021">
        <f t="shared" si="12"/>
        <v>0</v>
      </c>
      <c r="H47" s="1021"/>
      <c r="I47" s="1021"/>
      <c r="J47" s="1021"/>
      <c r="K47" s="1021"/>
      <c r="L47" s="1021"/>
      <c r="M47" s="1021"/>
      <c r="N47" s="1021"/>
      <c r="O47" s="1021"/>
      <c r="P47" s="1021"/>
      <c r="Q47" s="1021"/>
      <c r="R47" s="1021"/>
      <c r="S47" s="1021"/>
    </row>
    <row r="48" spans="1:19">
      <c r="A48" s="1043">
        <f t="shared" si="4"/>
        <v>2.3199999999999932</v>
      </c>
      <c r="B48" s="1009" t="s">
        <v>904</v>
      </c>
      <c r="C48" s="1009">
        <f t="shared" si="11"/>
        <v>0</v>
      </c>
      <c r="D48" s="1009">
        <f t="shared" si="11"/>
        <v>0</v>
      </c>
      <c r="E48" s="1021">
        <v>0</v>
      </c>
      <c r="F48" s="1021">
        <v>0</v>
      </c>
      <c r="G48" s="1021">
        <f t="shared" si="12"/>
        <v>0</v>
      </c>
      <c r="H48" s="1021"/>
      <c r="I48" s="1021"/>
      <c r="J48" s="1021"/>
      <c r="K48" s="1021"/>
      <c r="L48" s="1021"/>
      <c r="M48" s="1021"/>
      <c r="N48" s="1021"/>
      <c r="O48" s="1021"/>
      <c r="P48" s="1021"/>
      <c r="Q48" s="1021"/>
      <c r="R48" s="1021"/>
      <c r="S48" s="1021"/>
    </row>
    <row r="49" spans="1:256">
      <c r="A49" s="1043">
        <f t="shared" si="4"/>
        <v>2.329999999999993</v>
      </c>
      <c r="B49" s="1009" t="s">
        <v>905</v>
      </c>
      <c r="C49" s="1009">
        <f t="shared" si="11"/>
        <v>0</v>
      </c>
      <c r="D49" s="1009">
        <f t="shared" si="11"/>
        <v>0</v>
      </c>
      <c r="E49" s="1021">
        <v>0</v>
      </c>
      <c r="F49" s="1021">
        <v>0</v>
      </c>
      <c r="G49" s="1021">
        <f t="shared" si="12"/>
        <v>0</v>
      </c>
      <c r="H49" s="1021"/>
      <c r="I49" s="1021"/>
      <c r="J49" s="1021"/>
      <c r="K49" s="1021"/>
      <c r="L49" s="1021"/>
      <c r="M49" s="1021"/>
      <c r="N49" s="1021"/>
      <c r="O49" s="1021"/>
      <c r="P49" s="1021"/>
      <c r="Q49" s="1021"/>
      <c r="R49" s="1021"/>
      <c r="S49" s="1021"/>
    </row>
    <row r="50" spans="1:256">
      <c r="A50" s="1043">
        <f t="shared" si="4"/>
        <v>2.3399999999999928</v>
      </c>
      <c r="B50" s="1009" t="s">
        <v>906</v>
      </c>
      <c r="C50" s="1021">
        <f>SUM(M50:O50)</f>
        <v>0</v>
      </c>
      <c r="D50" s="1021">
        <f>SUM(Q50:S50)</f>
        <v>0</v>
      </c>
      <c r="E50" s="1021"/>
      <c r="F50" s="1021"/>
      <c r="G50" s="1021">
        <f>ROUND(SUM(C50:F50)/2,0)</f>
        <v>0</v>
      </c>
      <c r="H50" s="1021"/>
      <c r="I50" s="1021">
        <f>(M50+Q50)/2</f>
        <v>0</v>
      </c>
      <c r="J50" s="1021">
        <f>(N50+R50)/2</f>
        <v>0</v>
      </c>
      <c r="K50" s="1021">
        <f>(O50+S50)/2</f>
        <v>0</v>
      </c>
      <c r="L50" s="1021"/>
      <c r="M50" s="1009"/>
      <c r="N50" s="1009">
        <v>0</v>
      </c>
      <c r="O50" s="1009"/>
      <c r="P50" s="1021"/>
      <c r="Q50" s="1009"/>
      <c r="R50" s="1009">
        <v>0</v>
      </c>
      <c r="S50" s="1009"/>
    </row>
    <row r="51" spans="1:256">
      <c r="A51" s="1037"/>
      <c r="B51" s="1021"/>
      <c r="C51" s="1021"/>
      <c r="D51" s="1021"/>
      <c r="E51" s="1021"/>
      <c r="F51" s="1021"/>
      <c r="G51" s="1021"/>
      <c r="H51" s="1021"/>
      <c r="I51" s="1021"/>
      <c r="J51" s="1021"/>
      <c r="K51" s="1021"/>
      <c r="L51" s="1021"/>
      <c r="M51" s="1337"/>
      <c r="N51" s="1337"/>
      <c r="O51" s="1337"/>
      <c r="P51" s="1021"/>
      <c r="Q51" s="1337"/>
      <c r="R51" s="1337"/>
      <c r="S51" s="1337"/>
    </row>
    <row r="52" spans="1:256" ht="13.5" thickBot="1">
      <c r="A52" s="1004">
        <v>3</v>
      </c>
      <c r="B52" s="1025" t="s">
        <v>685</v>
      </c>
      <c r="C52" s="1038">
        <f>SUM(C17:C51)</f>
        <v>49375723.839999996</v>
      </c>
      <c r="D52" s="1038">
        <f>SUM(D17:D51)</f>
        <v>58309385.82</v>
      </c>
      <c r="E52" s="1038">
        <f>SUM(E17:E51)</f>
        <v>21590740.400141016</v>
      </c>
      <c r="F52" s="1038">
        <f>SUM(F17:F51)</f>
        <v>-20456221.290958997</v>
      </c>
      <c r="G52" s="1038">
        <f>SUM(G17:G51)</f>
        <v>54409814</v>
      </c>
      <c r="H52" s="1021"/>
      <c r="I52" s="1038">
        <f>SUM(I17:I51)</f>
        <v>0</v>
      </c>
      <c r="J52" s="1038">
        <f>SUM(J17:J51)</f>
        <v>54409814.384590998</v>
      </c>
      <c r="K52" s="1038">
        <f>SUM(K17:K51)</f>
        <v>0</v>
      </c>
      <c r="L52" s="1021"/>
      <c r="M52" s="1038">
        <f>SUM(M17:M51)</f>
        <v>0</v>
      </c>
      <c r="N52" s="1038">
        <f>SUM(N17:N51)</f>
        <v>70966464.240141004</v>
      </c>
      <c r="O52" s="1038">
        <f>SUM(O17:O51)</f>
        <v>0</v>
      </c>
      <c r="P52" s="1021"/>
      <c r="Q52" s="1038">
        <f>SUM(Q17:Q51)</f>
        <v>0</v>
      </c>
      <c r="R52" s="1038">
        <f>SUM(R17:R51)</f>
        <v>37853164.529041</v>
      </c>
      <c r="S52" s="1038">
        <f>SUM(S17:S51)</f>
        <v>0</v>
      </c>
    </row>
    <row r="53" spans="1:256" s="1149" customFormat="1" ht="13.5" thickTop="1">
      <c r="A53" s="1005">
        <v>4</v>
      </c>
      <c r="B53" s="1013" t="s">
        <v>686</v>
      </c>
      <c r="C53" s="1227">
        <v>0</v>
      </c>
      <c r="D53" s="1227">
        <v>0</v>
      </c>
      <c r="E53" s="1227">
        <v>0</v>
      </c>
      <c r="F53" s="1227">
        <v>0</v>
      </c>
      <c r="G53" s="1227">
        <v>0</v>
      </c>
      <c r="I53" s="1227">
        <v>0</v>
      </c>
      <c r="J53" s="1227">
        <v>0</v>
      </c>
      <c r="K53" s="1227">
        <v>0</v>
      </c>
      <c r="M53" s="1227">
        <v>0</v>
      </c>
      <c r="N53" s="1227">
        <v>0</v>
      </c>
      <c r="O53" s="1227">
        <v>0</v>
      </c>
      <c r="Q53" s="1227">
        <v>0</v>
      </c>
      <c r="R53" s="1227">
        <v>0</v>
      </c>
      <c r="S53" s="1227">
        <v>0</v>
      </c>
      <c r="IV53" s="1227"/>
    </row>
    <row r="54" spans="1:256">
      <c r="I54" s="1039"/>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7"/>
  <sheetViews>
    <sheetView workbookViewId="0">
      <selection activeCell="A2" sqref="A2"/>
    </sheetView>
  </sheetViews>
  <sheetFormatPr defaultColWidth="10" defaultRowHeight="12"/>
  <cols>
    <col min="1" max="1" width="9.42578125" style="1338" customWidth="1"/>
    <col min="2" max="2" width="20.85546875" style="1339" customWidth="1"/>
    <col min="3" max="3" width="35.5703125" style="1338" customWidth="1"/>
    <col min="4" max="4" width="12.85546875" style="1338" customWidth="1"/>
    <col min="5" max="5" width="10.42578125" style="1338" customWidth="1"/>
    <col min="6" max="6" width="16.42578125" style="1338" customWidth="1"/>
    <col min="7" max="7" width="12" style="1338" customWidth="1"/>
    <col min="8" max="8" width="14.28515625" style="1338" bestFit="1" customWidth="1"/>
    <col min="9" max="9" width="18.85546875" style="1338" customWidth="1"/>
    <col min="10" max="10" width="15.5703125" style="1338" customWidth="1"/>
    <col min="11" max="11" width="16.140625" style="1338" customWidth="1"/>
    <col min="12" max="13" width="15" style="1338" customWidth="1"/>
    <col min="14" max="14" width="13.5703125" style="1338" customWidth="1"/>
    <col min="15" max="15" width="15" style="1338" customWidth="1"/>
    <col min="16" max="17" width="17.5703125" style="1338" customWidth="1"/>
    <col min="18" max="18" width="33" style="1338" customWidth="1"/>
    <col min="19" max="19" width="15" style="1338" customWidth="1"/>
    <col min="20" max="21" width="14.5703125" style="1338" bestFit="1" customWidth="1"/>
    <col min="22" max="22" width="10.5703125" style="1338" bestFit="1" customWidth="1"/>
    <col min="23" max="16384" width="10" style="1338"/>
  </cols>
  <sheetData>
    <row r="1" spans="1:23" ht="12.75">
      <c r="A1" s="1338" t="s">
        <v>912</v>
      </c>
      <c r="R1" s="1340"/>
    </row>
    <row r="2" spans="1:23" ht="12.75">
      <c r="A2" s="1338" t="s">
        <v>1017</v>
      </c>
      <c r="R2" s="1340"/>
      <c r="V2" s="1341"/>
    </row>
    <row r="3" spans="1:23" ht="12.75">
      <c r="A3" s="1338" t="s">
        <v>1018</v>
      </c>
      <c r="R3" s="1340"/>
      <c r="V3" s="1342"/>
    </row>
    <row r="4" spans="1:23">
      <c r="A4" s="1338" t="s">
        <v>1019</v>
      </c>
      <c r="G4" s="1343"/>
    </row>
    <row r="5" spans="1:23">
      <c r="A5" s="1338" t="s">
        <v>913</v>
      </c>
      <c r="I5" s="1344"/>
      <c r="J5" s="1344"/>
      <c r="P5" s="1344"/>
      <c r="Q5" s="1344"/>
    </row>
    <row r="6" spans="1:23">
      <c r="J6" s="1344"/>
      <c r="K6" s="1345"/>
      <c r="L6" s="1339"/>
      <c r="M6" s="1339"/>
      <c r="N6" s="1339"/>
      <c r="O6" s="1339"/>
      <c r="P6" s="1339"/>
      <c r="Q6" s="1339"/>
    </row>
    <row r="7" spans="1:23">
      <c r="B7" s="1346"/>
      <c r="C7" s="1346"/>
      <c r="D7" s="1346"/>
      <c r="E7" s="1346"/>
      <c r="F7" s="1346"/>
      <c r="G7" s="1346"/>
      <c r="H7" s="1346"/>
      <c r="I7" s="1346"/>
      <c r="J7" s="1346"/>
      <c r="K7" s="1346"/>
      <c r="L7" s="1346"/>
      <c r="M7" s="1346"/>
      <c r="N7" s="1346"/>
      <c r="O7" s="1346"/>
      <c r="P7" s="1346"/>
      <c r="Q7" s="1339"/>
    </row>
    <row r="8" spans="1:23">
      <c r="A8" s="1339" t="s">
        <v>440</v>
      </c>
      <c r="B8" s="1339" t="s">
        <v>441</v>
      </c>
      <c r="C8" s="1339" t="s">
        <v>442</v>
      </c>
      <c r="D8" s="1339" t="s">
        <v>443</v>
      </c>
      <c r="E8" s="1339" t="s">
        <v>444</v>
      </c>
      <c r="F8" s="1339" t="s">
        <v>445</v>
      </c>
      <c r="G8" s="1339" t="s">
        <v>446</v>
      </c>
      <c r="H8" s="1339" t="s">
        <v>447</v>
      </c>
      <c r="I8" s="1339" t="s">
        <v>914</v>
      </c>
      <c r="J8" s="1339" t="s">
        <v>915</v>
      </c>
      <c r="K8" s="1339" t="s">
        <v>450</v>
      </c>
      <c r="L8" s="1339" t="s">
        <v>451</v>
      </c>
      <c r="M8" s="1339" t="s">
        <v>452</v>
      </c>
      <c r="N8" s="1339" t="s">
        <v>31</v>
      </c>
      <c r="O8" s="1339" t="s">
        <v>99</v>
      </c>
      <c r="P8" s="1339" t="s">
        <v>144</v>
      </c>
      <c r="Q8" s="1339" t="s">
        <v>145</v>
      </c>
      <c r="R8" s="1339" t="s">
        <v>146</v>
      </c>
    </row>
    <row r="9" spans="1:23" ht="12.75">
      <c r="B9" s="2"/>
      <c r="C9" s="2"/>
      <c r="D9" s="2"/>
      <c r="E9" s="2"/>
      <c r="I9" s="1501" t="s">
        <v>1074</v>
      </c>
      <c r="J9" s="1501"/>
      <c r="K9" s="1502" t="s">
        <v>916</v>
      </c>
      <c r="L9" s="1502"/>
      <c r="M9" s="1502"/>
      <c r="N9" s="1503" t="s">
        <v>917</v>
      </c>
      <c r="O9" s="1503"/>
      <c r="P9" s="1501" t="s">
        <v>1075</v>
      </c>
      <c r="Q9" s="1501"/>
    </row>
    <row r="10" spans="1:23" ht="72">
      <c r="A10" s="1347" t="s">
        <v>918</v>
      </c>
      <c r="B10" s="1349" t="s">
        <v>1063</v>
      </c>
      <c r="C10" s="1348" t="s">
        <v>919</v>
      </c>
      <c r="D10" s="1349" t="s">
        <v>920</v>
      </c>
      <c r="E10" s="1349" t="s">
        <v>921</v>
      </c>
      <c r="F10" s="1349" t="s">
        <v>1064</v>
      </c>
      <c r="G10" s="1349" t="s">
        <v>922</v>
      </c>
      <c r="H10" s="1349" t="s">
        <v>923</v>
      </c>
      <c r="I10" s="1350" t="s">
        <v>1065</v>
      </c>
      <c r="J10" s="1350" t="s">
        <v>1066</v>
      </c>
      <c r="K10" s="1351" t="s">
        <v>924</v>
      </c>
      <c r="L10" s="1351">
        <v>182.3</v>
      </c>
      <c r="M10" s="1351">
        <v>254</v>
      </c>
      <c r="N10" s="1351" t="s">
        <v>1067</v>
      </c>
      <c r="O10" s="1351" t="s">
        <v>925</v>
      </c>
      <c r="P10" s="1350" t="s">
        <v>1068</v>
      </c>
      <c r="Q10" s="1350" t="s">
        <v>1069</v>
      </c>
      <c r="R10" s="1352" t="s">
        <v>926</v>
      </c>
    </row>
    <row r="11" spans="1:23">
      <c r="B11" s="1338"/>
      <c r="D11" s="1353"/>
      <c r="E11" s="1353"/>
      <c r="F11" s="1353"/>
      <c r="G11" s="1353"/>
      <c r="H11" s="1353"/>
      <c r="I11" s="1354"/>
      <c r="J11" s="1354"/>
      <c r="K11" s="1354"/>
      <c r="L11" s="1354"/>
      <c r="M11" s="1354"/>
      <c r="N11" s="1354"/>
      <c r="O11" s="1354"/>
      <c r="P11" s="1504" t="s">
        <v>927</v>
      </c>
      <c r="Q11" s="1504"/>
      <c r="R11" s="1352"/>
    </row>
    <row r="12" spans="1:23">
      <c r="B12" s="1355" t="s">
        <v>928</v>
      </c>
      <c r="C12" s="1356"/>
      <c r="D12" s="1356"/>
      <c r="E12" s="1356"/>
      <c r="F12" s="1356"/>
      <c r="G12" s="1356"/>
      <c r="H12" s="1356"/>
      <c r="I12" s="1356"/>
      <c r="J12" s="1356"/>
      <c r="K12" s="1356"/>
      <c r="L12" s="1356"/>
      <c r="M12" s="1356"/>
      <c r="N12" s="1356"/>
      <c r="O12" s="1356"/>
      <c r="P12" s="1356"/>
      <c r="Q12" s="1356"/>
      <c r="R12" s="1342"/>
      <c r="S12" s="1342"/>
      <c r="T12" s="1342"/>
      <c r="U12" s="1342"/>
      <c r="V12" s="1342"/>
      <c r="W12" s="1342"/>
    </row>
    <row r="13" spans="1:23">
      <c r="A13" s="1338" t="s">
        <v>929</v>
      </c>
      <c r="B13" s="1357" t="s">
        <v>930</v>
      </c>
      <c r="C13" s="1338" t="s">
        <v>931</v>
      </c>
      <c r="D13" s="1358" t="s">
        <v>932</v>
      </c>
      <c r="E13" s="1358" t="s">
        <v>933</v>
      </c>
      <c r="F13" s="1359"/>
      <c r="G13" s="1358"/>
      <c r="H13" s="1358"/>
      <c r="I13" s="1360">
        <v>45402047.026574582</v>
      </c>
      <c r="J13" s="1361" t="s">
        <v>408</v>
      </c>
      <c r="K13" s="1360"/>
      <c r="L13" s="1360"/>
      <c r="M13" s="1360">
        <v>38097.240153534105</v>
      </c>
      <c r="N13" s="1360"/>
      <c r="O13" s="1360"/>
      <c r="P13" s="1362">
        <f>SUM(I13:O13)</f>
        <v>45440144.266728118</v>
      </c>
      <c r="Q13" s="1363" t="s">
        <v>408</v>
      </c>
      <c r="R13" s="1364" t="s">
        <v>1004</v>
      </c>
      <c r="S13" s="1342"/>
      <c r="T13" s="1342"/>
      <c r="U13" s="1342"/>
      <c r="V13" s="1342"/>
      <c r="W13" s="1342"/>
    </row>
    <row r="14" spans="1:23">
      <c r="A14" s="1338" t="s">
        <v>934</v>
      </c>
      <c r="B14" s="1357" t="s">
        <v>935</v>
      </c>
      <c r="C14" s="1338" t="s">
        <v>936</v>
      </c>
      <c r="D14" s="1358" t="s">
        <v>937</v>
      </c>
      <c r="E14" s="1358" t="s">
        <v>933</v>
      </c>
      <c r="F14" s="1365">
        <v>-171531496</v>
      </c>
      <c r="G14" s="1366" t="s">
        <v>938</v>
      </c>
      <c r="H14" s="1366" t="s">
        <v>939</v>
      </c>
      <c r="I14" s="1338" t="s">
        <v>408</v>
      </c>
      <c r="J14" s="1360">
        <v>-171901724.75629997</v>
      </c>
      <c r="K14" s="1360"/>
      <c r="L14" s="1360"/>
      <c r="M14" s="1360"/>
      <c r="N14" s="1360">
        <v>456868.15610001981</v>
      </c>
      <c r="O14" s="1360">
        <v>0</v>
      </c>
      <c r="P14" s="1367" t="s">
        <v>408</v>
      </c>
      <c r="Q14" s="1368">
        <f>SUM(J14:O14)</f>
        <v>-171444856.60019994</v>
      </c>
      <c r="R14" s="1369" t="s">
        <v>982</v>
      </c>
      <c r="S14" s="1342"/>
      <c r="T14" s="1342"/>
      <c r="U14" s="1342"/>
      <c r="V14" s="1342"/>
      <c r="W14" s="1342"/>
    </row>
    <row r="15" spans="1:23">
      <c r="A15" s="1338" t="s">
        <v>940</v>
      </c>
      <c r="B15" s="1357" t="s">
        <v>935</v>
      </c>
      <c r="C15" s="1338" t="s">
        <v>936</v>
      </c>
      <c r="D15" s="1358" t="s">
        <v>941</v>
      </c>
      <c r="E15" s="1358" t="s">
        <v>933</v>
      </c>
      <c r="F15" s="1370">
        <v>0</v>
      </c>
      <c r="G15" s="1366" t="s">
        <v>942</v>
      </c>
      <c r="H15" s="1366" t="s">
        <v>943</v>
      </c>
      <c r="J15" s="1360">
        <v>1239496.5251353132</v>
      </c>
      <c r="K15" s="1360"/>
      <c r="L15" s="1360"/>
      <c r="M15" s="1360"/>
      <c r="N15" s="1360">
        <v>-247899.47486468681</v>
      </c>
      <c r="O15" s="1360">
        <v>0</v>
      </c>
      <c r="P15" s="1367"/>
      <c r="Q15" s="1368">
        <f>SUM(J15:O15)</f>
        <v>991597.05027062632</v>
      </c>
      <c r="R15" s="1369" t="s">
        <v>983</v>
      </c>
      <c r="S15" s="1342"/>
      <c r="T15" s="1342"/>
      <c r="U15" s="1342"/>
      <c r="V15" s="1342"/>
      <c r="W15" s="1342"/>
    </row>
    <row r="16" spans="1:23">
      <c r="A16" s="1338" t="s">
        <v>944</v>
      </c>
      <c r="B16" s="1357" t="s">
        <v>945</v>
      </c>
      <c r="C16" s="1338" t="s">
        <v>946</v>
      </c>
      <c r="D16" s="1358" t="s">
        <v>937</v>
      </c>
      <c r="E16" s="1358" t="s">
        <v>933</v>
      </c>
      <c r="F16" s="1370"/>
      <c r="G16" s="1366"/>
      <c r="H16" s="1366"/>
      <c r="I16" s="1360">
        <v>171901723.75629997</v>
      </c>
      <c r="J16" s="1361"/>
      <c r="K16" s="1360"/>
      <c r="L16" s="1360"/>
      <c r="M16" s="1360">
        <v>-456868.15610001981</v>
      </c>
      <c r="N16" s="1360"/>
      <c r="O16" s="1360"/>
      <c r="P16" s="1362">
        <f>SUM(I16:O16)</f>
        <v>171444855.60019994</v>
      </c>
      <c r="Q16" s="1361"/>
      <c r="R16" s="1497" t="s">
        <v>1005</v>
      </c>
      <c r="S16" s="1342"/>
      <c r="T16" s="1342"/>
      <c r="U16" s="1342"/>
      <c r="V16" s="1342"/>
      <c r="W16" s="1342"/>
    </row>
    <row r="17" spans="1:23">
      <c r="A17" s="1338" t="s">
        <v>947</v>
      </c>
      <c r="B17" s="1357" t="s">
        <v>945</v>
      </c>
      <c r="C17" s="1338" t="s">
        <v>946</v>
      </c>
      <c r="D17" s="1358" t="s">
        <v>941</v>
      </c>
      <c r="E17" s="1358" t="s">
        <v>933</v>
      </c>
      <c r="F17" s="1370"/>
      <c r="G17" s="1366"/>
      <c r="H17" s="1366"/>
      <c r="I17" s="1360">
        <v>-1239496.5251353132</v>
      </c>
      <c r="J17" s="1361"/>
      <c r="K17" s="1360"/>
      <c r="L17" s="1360"/>
      <c r="M17" s="1360">
        <v>247899.47486468681</v>
      </c>
      <c r="N17" s="1360"/>
      <c r="O17" s="1360"/>
      <c r="P17" s="1362">
        <f>SUM(I17:O17)</f>
        <v>-991597.05027062632</v>
      </c>
      <c r="Q17" s="1361"/>
      <c r="R17" s="1497"/>
      <c r="S17" s="1342"/>
      <c r="T17" s="1342"/>
      <c r="U17" s="1342"/>
      <c r="V17" s="1342"/>
      <c r="W17" s="1342"/>
    </row>
    <row r="18" spans="1:23">
      <c r="A18" s="1338" t="s">
        <v>948</v>
      </c>
      <c r="B18" s="1357" t="s">
        <v>949</v>
      </c>
      <c r="C18" s="1338" t="s">
        <v>950</v>
      </c>
      <c r="D18" s="1358" t="s">
        <v>941</v>
      </c>
      <c r="E18" s="1358" t="s">
        <v>933</v>
      </c>
      <c r="F18" s="1370">
        <v>2463331</v>
      </c>
      <c r="G18" s="1366" t="s">
        <v>942</v>
      </c>
      <c r="H18" s="1366" t="s">
        <v>943</v>
      </c>
      <c r="I18" s="1338" t="s">
        <v>408</v>
      </c>
      <c r="J18" s="1360">
        <v>1753506.6054125228</v>
      </c>
      <c r="K18" s="1360"/>
      <c r="L18" s="1360"/>
      <c r="M18" s="1360"/>
      <c r="N18" s="1360">
        <v>-350701.39458747726</v>
      </c>
      <c r="O18" s="1360">
        <v>0</v>
      </c>
      <c r="P18" s="1367" t="s">
        <v>408</v>
      </c>
      <c r="Q18" s="1368">
        <f>SUM(J18:O18)</f>
        <v>1402805.2108250456</v>
      </c>
      <c r="R18" s="1364" t="s">
        <v>973</v>
      </c>
      <c r="S18" s="1342"/>
      <c r="T18" s="1342"/>
      <c r="U18" s="1342"/>
      <c r="V18" s="1342"/>
      <c r="W18" s="1342"/>
    </row>
    <row r="19" spans="1:23">
      <c r="A19" s="1338" t="s">
        <v>951</v>
      </c>
      <c r="B19" s="1371" t="s">
        <v>952</v>
      </c>
      <c r="C19" s="1338" t="s">
        <v>953</v>
      </c>
      <c r="D19" s="1358" t="s">
        <v>941</v>
      </c>
      <c r="E19" s="1358" t="s">
        <v>933</v>
      </c>
      <c r="F19" s="1365"/>
      <c r="G19" s="1366"/>
      <c r="H19" s="1366"/>
      <c r="I19" s="1360">
        <v>-1753506.6054125228</v>
      </c>
      <c r="J19" s="1361"/>
      <c r="K19" s="1360"/>
      <c r="L19" s="1360"/>
      <c r="M19" s="1360">
        <v>350701.39458747726</v>
      </c>
      <c r="N19" s="1360"/>
      <c r="O19" s="1360"/>
      <c r="P19" s="1362">
        <f>SUM(I19:O19)</f>
        <v>-1402805.2108250456</v>
      </c>
      <c r="Q19" s="1367"/>
      <c r="R19" s="1364" t="s">
        <v>1006</v>
      </c>
      <c r="S19" s="1342"/>
      <c r="T19" s="1342"/>
      <c r="U19" s="1342"/>
      <c r="V19" s="1342"/>
      <c r="W19" s="1342"/>
    </row>
    <row r="20" spans="1:23">
      <c r="A20" s="1338" t="s">
        <v>954</v>
      </c>
      <c r="B20" s="1372" t="s">
        <v>955</v>
      </c>
      <c r="D20" s="1358"/>
      <c r="E20" s="1358"/>
      <c r="F20" s="1365"/>
      <c r="G20" s="1366"/>
      <c r="H20" s="1366"/>
      <c r="I20" s="1360"/>
      <c r="J20" s="1360"/>
      <c r="K20" s="1360"/>
      <c r="L20" s="1360"/>
      <c r="M20" s="1360"/>
      <c r="N20" s="1360"/>
      <c r="O20" s="1360"/>
      <c r="P20" s="1363"/>
      <c r="Q20" s="1362"/>
      <c r="R20" s="1373"/>
      <c r="S20" s="1342"/>
      <c r="T20" s="1342"/>
      <c r="U20" s="1342"/>
      <c r="V20" s="1342"/>
      <c r="W20" s="1342"/>
    </row>
    <row r="21" spans="1:23" ht="12.75">
      <c r="B21" s="1374"/>
      <c r="C21" s="1374"/>
      <c r="D21" s="1374"/>
      <c r="E21" s="1374"/>
      <c r="F21" s="1374"/>
      <c r="G21" s="1374"/>
      <c r="H21" s="1374"/>
      <c r="I21" s="1374"/>
      <c r="J21" s="1374"/>
      <c r="K21" s="1374"/>
      <c r="L21" s="1374"/>
      <c r="M21" s="1374"/>
      <c r="N21"/>
      <c r="O21"/>
      <c r="P21"/>
      <c r="Q21"/>
      <c r="R21"/>
      <c r="S21" s="1342"/>
      <c r="T21" s="1342"/>
      <c r="U21" s="1342"/>
      <c r="V21" s="1342"/>
      <c r="W21" s="1342"/>
    </row>
    <row r="22" spans="1:23" s="1342" customFormat="1">
      <c r="A22" s="1338"/>
      <c r="B22" s="1355" t="s">
        <v>956</v>
      </c>
      <c r="Q22" s="1375"/>
      <c r="R22" s="1376"/>
    </row>
    <row r="23" spans="1:23">
      <c r="A23" s="1338" t="s">
        <v>957</v>
      </c>
      <c r="B23" s="1377">
        <v>182.3</v>
      </c>
      <c r="C23" s="1378" t="s">
        <v>958</v>
      </c>
      <c r="D23" s="1379" t="s">
        <v>408</v>
      </c>
      <c r="E23" s="1358" t="s">
        <v>933</v>
      </c>
      <c r="F23" s="1379"/>
      <c r="G23" s="1379" t="s">
        <v>408</v>
      </c>
      <c r="H23" s="1379"/>
      <c r="I23" s="1380">
        <v>0</v>
      </c>
      <c r="J23" s="1360"/>
      <c r="K23" s="1360"/>
      <c r="L23" s="1360"/>
      <c r="M23" s="1360"/>
      <c r="N23" s="1360"/>
      <c r="O23" s="1361"/>
      <c r="P23" s="1363">
        <f>SUM(I23:O23)</f>
        <v>0</v>
      </c>
      <c r="Q23" s="1381"/>
      <c r="R23" s="1364" t="s">
        <v>959</v>
      </c>
      <c r="S23" s="1342"/>
      <c r="T23" s="1342"/>
      <c r="U23" s="1342"/>
      <c r="V23" s="1342"/>
      <c r="W23" s="1342"/>
    </row>
    <row r="24" spans="1:23">
      <c r="A24" s="1338" t="s">
        <v>960</v>
      </c>
      <c r="B24" s="1377">
        <v>254</v>
      </c>
      <c r="C24" s="1378" t="s">
        <v>961</v>
      </c>
      <c r="D24" s="1379" t="s">
        <v>408</v>
      </c>
      <c r="E24" s="1358" t="s">
        <v>933</v>
      </c>
      <c r="F24" s="1379"/>
      <c r="G24" s="1379" t="s">
        <v>408</v>
      </c>
      <c r="H24" s="1379"/>
      <c r="I24" s="1380">
        <v>-214310767.6523267</v>
      </c>
      <c r="J24" s="1360"/>
      <c r="K24" s="1360"/>
      <c r="L24" s="1360"/>
      <c r="M24" s="1360">
        <v>-179829.95350567836</v>
      </c>
      <c r="N24" s="1360"/>
      <c r="O24" s="1361"/>
      <c r="P24" s="1363">
        <f>SUM(I24:O24)</f>
        <v>-214490597.60583237</v>
      </c>
      <c r="Q24" s="1381"/>
      <c r="R24" s="1364" t="s">
        <v>959</v>
      </c>
      <c r="S24" s="1342"/>
      <c r="T24" s="1342"/>
      <c r="U24" s="1342"/>
      <c r="V24" s="1342"/>
      <c r="W24" s="1342"/>
    </row>
    <row r="25" spans="1:23">
      <c r="A25" s="1338" t="s">
        <v>962</v>
      </c>
      <c r="B25" s="1372" t="s">
        <v>955</v>
      </c>
      <c r="C25" s="1378"/>
      <c r="D25" s="1379"/>
      <c r="E25" s="1358"/>
      <c r="F25" s="1379"/>
      <c r="G25" s="1379"/>
      <c r="H25" s="1379"/>
      <c r="I25" s="1360"/>
      <c r="J25" s="1360"/>
      <c r="K25" s="1360"/>
      <c r="L25" s="1360"/>
      <c r="M25" s="1360"/>
      <c r="N25" s="1360"/>
      <c r="O25" s="1379"/>
      <c r="P25" s="1381"/>
      <c r="Q25" s="1381"/>
      <c r="R25" s="1364"/>
      <c r="S25" s="1342"/>
      <c r="T25" s="1342"/>
      <c r="U25" s="1342"/>
      <c r="V25" s="1342"/>
      <c r="W25" s="1342"/>
    </row>
    <row r="26" spans="1:23">
      <c r="B26" s="1377"/>
      <c r="C26" s="1378"/>
      <c r="D26" s="1346"/>
      <c r="E26" s="1346"/>
      <c r="F26" s="1346"/>
      <c r="G26" s="1346"/>
      <c r="H26" s="1346"/>
      <c r="I26" s="1346"/>
      <c r="J26" s="1346"/>
      <c r="K26" s="1346"/>
      <c r="L26" s="1346"/>
      <c r="M26" s="1346"/>
      <c r="N26" s="1346"/>
      <c r="O26" s="1346"/>
      <c r="P26" s="1346"/>
      <c r="Q26" s="1346"/>
      <c r="R26" s="1382"/>
      <c r="S26" s="1342"/>
      <c r="T26" s="1342"/>
      <c r="U26" s="1342"/>
      <c r="V26" s="1342"/>
      <c r="W26" s="1342"/>
    </row>
    <row r="27" spans="1:23" ht="12.75" thickBot="1">
      <c r="A27" s="1383">
        <v>3</v>
      </c>
      <c r="B27" s="1498" t="str">
        <f>"Total For Accounting Entires (Sum of Lines "&amp;A13&amp;" through "&amp;A24&amp;")"</f>
        <v>Total For Accounting Entires (Sum of Lines 1a through 2b)</v>
      </c>
      <c r="C27" s="1498"/>
      <c r="D27" s="1379"/>
      <c r="E27" s="1379"/>
      <c r="F27" s="1379"/>
      <c r="G27" s="1379"/>
      <c r="H27" s="1379"/>
      <c r="I27" s="1384">
        <v>0</v>
      </c>
      <c r="J27" s="1385">
        <v>-168723786</v>
      </c>
      <c r="K27" s="1386">
        <f>SUM(K13:K26)</f>
        <v>0</v>
      </c>
      <c r="L27" s="1386">
        <f>SUM(L13:L26)</f>
        <v>0</v>
      </c>
      <c r="M27" s="1386">
        <f>SUM(M13:M26)</f>
        <v>0</v>
      </c>
      <c r="N27" s="1385">
        <f>-SUM(N13:N26)</f>
        <v>141732.71335214426</v>
      </c>
      <c r="O27" s="1385">
        <f>-SUM(O13:O26)</f>
        <v>0</v>
      </c>
      <c r="P27" s="1386">
        <f>SUM(P13:P26)</f>
        <v>0</v>
      </c>
      <c r="Q27" s="1385">
        <f>SUM(Q13:Q26)</f>
        <v>-169050454.33910426</v>
      </c>
      <c r="R27" s="1387"/>
      <c r="S27" s="1342"/>
      <c r="T27" s="1342"/>
      <c r="U27" s="1342"/>
      <c r="V27" s="1342"/>
      <c r="W27" s="1342"/>
    </row>
    <row r="28" spans="1:23" ht="12.75" thickTop="1">
      <c r="B28" s="1377"/>
      <c r="C28" s="1378"/>
      <c r="D28" s="1346"/>
      <c r="E28" s="1346"/>
      <c r="F28" s="1346"/>
      <c r="G28" s="1346"/>
      <c r="H28" s="1346"/>
      <c r="I28" s="1388"/>
      <c r="J28" s="1370"/>
      <c r="K28" s="1389"/>
      <c r="L28" s="1389"/>
      <c r="M28" s="1389"/>
      <c r="N28" s="1390" t="s">
        <v>963</v>
      </c>
      <c r="O28" s="1390"/>
      <c r="P28" s="1389"/>
      <c r="Q28" s="1391"/>
      <c r="R28" s="1387"/>
      <c r="S28" s="1342"/>
      <c r="T28" s="1342"/>
      <c r="U28" s="1342"/>
      <c r="V28" s="1342"/>
      <c r="W28" s="1342"/>
    </row>
    <row r="29" spans="1:23">
      <c r="B29" s="1338"/>
      <c r="C29" s="1378"/>
      <c r="D29" s="1346"/>
      <c r="E29" s="1346"/>
      <c r="F29" s="1346"/>
      <c r="G29" s="1346"/>
      <c r="H29" s="1346"/>
      <c r="I29" s="1388"/>
      <c r="J29" s="1391"/>
      <c r="K29" s="1389"/>
      <c r="L29" s="1389"/>
      <c r="M29" s="1389"/>
      <c r="N29" s="1391"/>
      <c r="O29" s="1391"/>
      <c r="P29" s="1389"/>
      <c r="Q29" s="1391"/>
      <c r="R29" s="1387"/>
      <c r="S29" s="1342"/>
      <c r="T29" s="1342"/>
      <c r="U29" s="1342"/>
      <c r="V29" s="1342"/>
      <c r="W29" s="1342"/>
    </row>
    <row r="30" spans="1:23" ht="12" customHeight="1">
      <c r="A30" s="1392" t="s">
        <v>964</v>
      </c>
      <c r="B30" s="1499" t="s">
        <v>965</v>
      </c>
      <c r="C30" s="1499"/>
      <c r="D30" s="1499"/>
      <c r="E30" s="1499"/>
      <c r="F30" s="1499"/>
      <c r="G30" s="1499"/>
      <c r="H30" s="1499"/>
      <c r="I30" s="1499"/>
      <c r="J30" s="1499"/>
      <c r="K30" s="1393"/>
      <c r="L30" s="1394"/>
      <c r="O30" s="1395"/>
      <c r="P30" s="1395"/>
      <c r="Q30" s="1395"/>
      <c r="R30" s="1342"/>
    </row>
    <row r="31" spans="1:23">
      <c r="B31" s="1499"/>
      <c r="C31" s="1499"/>
      <c r="D31" s="1499"/>
      <c r="E31" s="1499"/>
      <c r="F31" s="1499"/>
      <c r="G31" s="1499"/>
      <c r="H31" s="1499"/>
      <c r="I31" s="1499"/>
      <c r="J31" s="1499"/>
      <c r="K31" s="1393"/>
      <c r="L31" s="1394"/>
      <c r="O31" s="1395"/>
      <c r="R31" s="1342"/>
    </row>
    <row r="32" spans="1:23">
      <c r="B32" s="1499"/>
      <c r="C32" s="1499"/>
      <c r="D32" s="1499"/>
      <c r="E32" s="1499"/>
      <c r="F32" s="1499"/>
      <c r="G32" s="1499"/>
      <c r="H32" s="1499"/>
      <c r="I32" s="1499"/>
      <c r="J32" s="1499"/>
      <c r="K32" s="1393"/>
      <c r="L32" s="1394"/>
      <c r="R32" s="1342"/>
    </row>
    <row r="33" spans="1:18">
      <c r="B33" s="1499"/>
      <c r="C33" s="1499"/>
      <c r="D33" s="1499"/>
      <c r="E33" s="1499"/>
      <c r="F33" s="1499"/>
      <c r="G33" s="1499"/>
      <c r="H33" s="1499"/>
      <c r="I33" s="1499"/>
      <c r="J33" s="1499"/>
      <c r="K33" s="1393"/>
      <c r="L33" s="1394"/>
      <c r="P33" s="1395"/>
      <c r="Q33" s="1395"/>
      <c r="R33" s="1342"/>
    </row>
    <row r="34" spans="1:18">
      <c r="B34" s="1499"/>
      <c r="C34" s="1499"/>
      <c r="D34" s="1499"/>
      <c r="E34" s="1499"/>
      <c r="F34" s="1499"/>
      <c r="G34" s="1499"/>
      <c r="H34" s="1499"/>
      <c r="I34" s="1499"/>
      <c r="J34" s="1499"/>
      <c r="K34" s="1393"/>
      <c r="R34" s="1342"/>
    </row>
    <row r="35" spans="1:18">
      <c r="B35" s="1499"/>
      <c r="C35" s="1499"/>
      <c r="D35" s="1499"/>
      <c r="E35" s="1499"/>
      <c r="F35" s="1499"/>
      <c r="G35" s="1499"/>
      <c r="H35" s="1499"/>
      <c r="I35" s="1499"/>
      <c r="J35" s="1499"/>
      <c r="K35" s="1393"/>
      <c r="R35" s="1342"/>
    </row>
    <row r="36" spans="1:18">
      <c r="B36" s="1393"/>
      <c r="C36" s="1393"/>
      <c r="D36" s="1393"/>
      <c r="E36" s="1393"/>
      <c r="F36" s="1393"/>
      <c r="G36" s="1393"/>
      <c r="H36" s="1393"/>
      <c r="I36" s="1393"/>
      <c r="J36" s="1393"/>
      <c r="K36" s="1393"/>
      <c r="R36" s="1342"/>
    </row>
    <row r="37" spans="1:18">
      <c r="A37" s="1338" t="s">
        <v>966</v>
      </c>
      <c r="B37" s="1396" t="s">
        <v>1009</v>
      </c>
      <c r="C37" s="1396"/>
      <c r="D37" s="1396"/>
      <c r="E37" s="1396"/>
      <c r="F37" s="1396"/>
      <c r="G37" s="1396"/>
      <c r="H37" s="1396"/>
      <c r="I37" s="1396"/>
      <c r="J37" s="1396"/>
      <c r="K37" s="1393"/>
      <c r="R37" s="1342"/>
    </row>
    <row r="38" spans="1:18">
      <c r="B38" s="1393"/>
      <c r="C38" s="1393"/>
      <c r="D38" s="1393"/>
      <c r="E38" s="1393"/>
      <c r="F38" s="1393"/>
      <c r="G38" s="1393"/>
      <c r="H38" s="1393"/>
      <c r="I38" s="1393"/>
      <c r="J38" s="1393"/>
      <c r="K38" s="1393"/>
      <c r="R38" s="1342"/>
    </row>
    <row r="39" spans="1:18" s="1398" customFormat="1" ht="12" customHeight="1">
      <c r="A39" s="1338" t="s">
        <v>967</v>
      </c>
      <c r="B39" s="1500" t="s">
        <v>1010</v>
      </c>
      <c r="C39" s="1500"/>
      <c r="D39" s="1500"/>
      <c r="E39" s="1500"/>
      <c r="F39" s="1500"/>
      <c r="G39" s="1500"/>
      <c r="H39" s="1500"/>
      <c r="I39" s="1500"/>
      <c r="J39" s="1500"/>
      <c r="K39" s="1397"/>
      <c r="R39" s="1375"/>
    </row>
    <row r="40" spans="1:18" s="1398" customFormat="1">
      <c r="A40" s="1338"/>
      <c r="B40" s="1500"/>
      <c r="C40" s="1500"/>
      <c r="D40" s="1500"/>
      <c r="E40" s="1500"/>
      <c r="F40" s="1500"/>
      <c r="G40" s="1500"/>
      <c r="H40" s="1500"/>
      <c r="I40" s="1500"/>
      <c r="J40" s="1500"/>
      <c r="K40" s="1397"/>
      <c r="R40" s="1375"/>
    </row>
    <row r="41" spans="1:18">
      <c r="B41" s="1393"/>
      <c r="C41" s="1393"/>
      <c r="D41" s="1393"/>
      <c r="E41" s="1393"/>
      <c r="F41" s="1393"/>
      <c r="G41" s="1393"/>
      <c r="H41" s="1393"/>
      <c r="I41" s="1393"/>
      <c r="J41" s="1393"/>
      <c r="K41" s="1393"/>
      <c r="R41" s="1342"/>
    </row>
    <row r="42" spans="1:18">
      <c r="A42" s="1338" t="s">
        <v>968</v>
      </c>
      <c r="B42" s="1399" t="s">
        <v>1011</v>
      </c>
      <c r="C42" s="1393"/>
      <c r="D42" s="1393"/>
      <c r="E42" s="1393"/>
      <c r="F42" s="1393"/>
      <c r="G42" s="1393"/>
      <c r="H42" s="1393"/>
      <c r="I42" s="1393"/>
      <c r="J42" s="1393"/>
      <c r="K42" s="1393"/>
      <c r="R42" s="1342"/>
    </row>
    <row r="43" spans="1:18">
      <c r="B43" s="1399"/>
      <c r="C43" s="1393"/>
      <c r="D43" s="1393"/>
      <c r="E43" s="1393"/>
      <c r="F43" s="1393"/>
      <c r="G43" s="1393"/>
      <c r="H43" s="1393"/>
      <c r="I43" s="1393"/>
      <c r="J43" s="1393"/>
      <c r="K43" s="1393"/>
      <c r="R43" s="1342"/>
    </row>
    <row r="44" spans="1:18" ht="12" customHeight="1">
      <c r="A44" s="1383" t="s">
        <v>969</v>
      </c>
      <c r="B44" s="1499" t="s">
        <v>1012</v>
      </c>
      <c r="C44" s="1499"/>
      <c r="D44" s="1499"/>
      <c r="E44" s="1499"/>
      <c r="F44" s="1499"/>
      <c r="G44" s="1499"/>
      <c r="H44" s="1499"/>
      <c r="I44" s="1499"/>
      <c r="J44" s="1393"/>
      <c r="K44" s="1394"/>
      <c r="R44" s="1342"/>
    </row>
    <row r="45" spans="1:18">
      <c r="B45" s="1499"/>
      <c r="C45" s="1499"/>
      <c r="D45" s="1499"/>
      <c r="E45" s="1499"/>
      <c r="F45" s="1499"/>
      <c r="G45" s="1499"/>
      <c r="H45" s="1499"/>
      <c r="I45" s="1499"/>
      <c r="J45" s="1393"/>
      <c r="R45" s="1342"/>
    </row>
    <row r="46" spans="1:18">
      <c r="R46" s="1342"/>
    </row>
    <row r="47" spans="1:18">
      <c r="A47" s="1383" t="s">
        <v>1013</v>
      </c>
      <c r="B47" s="1499" t="s">
        <v>1014</v>
      </c>
      <c r="C47" s="1499"/>
      <c r="D47" s="1499"/>
      <c r="E47" s="1499"/>
      <c r="F47" s="1499"/>
      <c r="G47" s="1499"/>
      <c r="H47" s="1499"/>
      <c r="I47" s="1499"/>
      <c r="R47" s="1342"/>
    </row>
    <row r="48" spans="1:18">
      <c r="B48" s="1499"/>
      <c r="C48" s="1499"/>
      <c r="D48" s="1499"/>
      <c r="E48" s="1499"/>
      <c r="F48" s="1499"/>
      <c r="G48" s="1499"/>
      <c r="H48" s="1499"/>
      <c r="I48" s="1499"/>
      <c r="R48" s="1342"/>
    </row>
    <row r="50" spans="1:11">
      <c r="A50" s="1383" t="s">
        <v>1015</v>
      </c>
      <c r="B50" s="1394" t="s">
        <v>1016</v>
      </c>
      <c r="C50" s="1394"/>
      <c r="D50" s="1394"/>
      <c r="E50" s="1394"/>
      <c r="F50" s="1394"/>
      <c r="G50" s="1394"/>
    </row>
    <row r="53" spans="1:11">
      <c r="A53" s="1392"/>
      <c r="B53" s="1392"/>
      <c r="C53" s="1392"/>
      <c r="D53" s="1392"/>
      <c r="E53" s="1392"/>
      <c r="F53" s="1392"/>
      <c r="G53" s="1392"/>
      <c r="H53" s="1392"/>
      <c r="I53" s="1392"/>
      <c r="J53" s="1392"/>
      <c r="K53" s="1392"/>
    </row>
    <row r="54" spans="1:11">
      <c r="A54" s="1392"/>
      <c r="B54" s="1392"/>
      <c r="C54" s="1392"/>
      <c r="D54" s="1392"/>
      <c r="E54" s="1392"/>
      <c r="F54" s="1392"/>
      <c r="G54" s="1392"/>
      <c r="H54" s="1392"/>
      <c r="I54" s="1392"/>
      <c r="J54" s="1392"/>
      <c r="K54" s="1392"/>
    </row>
    <row r="55" spans="1:11">
      <c r="D55" s="1392"/>
      <c r="E55" s="1392"/>
      <c r="F55" s="1392"/>
      <c r="G55" s="1392"/>
      <c r="H55" s="1392"/>
      <c r="I55" s="1392"/>
      <c r="J55" s="1392"/>
      <c r="K55" s="1392"/>
    </row>
    <row r="56" spans="1:11">
      <c r="A56" s="1392"/>
      <c r="B56" s="1392"/>
      <c r="C56" s="1392"/>
      <c r="D56" s="1392"/>
      <c r="E56" s="1392"/>
      <c r="F56" s="1392"/>
      <c r="G56" s="1392"/>
      <c r="H56" s="1392"/>
      <c r="I56" s="1392"/>
      <c r="J56" s="1392"/>
      <c r="K56" s="1392"/>
    </row>
    <row r="57" spans="1:11">
      <c r="A57" s="1392"/>
      <c r="B57" s="1392"/>
      <c r="C57" s="1392"/>
      <c r="D57" s="1392"/>
      <c r="E57" s="1392"/>
      <c r="F57" s="1392"/>
      <c r="G57" s="1392"/>
      <c r="H57" s="1392"/>
      <c r="I57" s="1392"/>
      <c r="J57" s="1392"/>
      <c r="K57" s="1392"/>
    </row>
    <row r="58" spans="1:11">
      <c r="A58" s="1392"/>
      <c r="B58" s="1392"/>
      <c r="C58" s="1392"/>
      <c r="D58" s="1392"/>
      <c r="E58" s="1392"/>
      <c r="F58" s="1392"/>
      <c r="G58" s="1392"/>
      <c r="H58" s="1392"/>
      <c r="I58" s="1392"/>
      <c r="J58" s="1392"/>
      <c r="K58" s="1392"/>
    </row>
    <row r="59" spans="1:11">
      <c r="A59" s="1392"/>
      <c r="B59" s="1392"/>
      <c r="C59" s="1392"/>
      <c r="D59" s="1392"/>
      <c r="E59" s="1392"/>
      <c r="F59" s="1392"/>
      <c r="G59" s="1392"/>
      <c r="H59" s="1392"/>
      <c r="I59" s="1392"/>
      <c r="J59" s="1392"/>
      <c r="K59" s="1392"/>
    </row>
    <row r="60" spans="1:11">
      <c r="A60" s="1392"/>
      <c r="B60" s="1392"/>
      <c r="C60" s="1392"/>
      <c r="D60" s="1392"/>
      <c r="E60" s="1392"/>
      <c r="F60" s="1392"/>
      <c r="G60" s="1392"/>
      <c r="H60" s="1392"/>
      <c r="I60" s="1392"/>
      <c r="J60" s="1392"/>
      <c r="K60" s="1392"/>
    </row>
    <row r="61" spans="1:11">
      <c r="A61" s="1392"/>
      <c r="B61" s="1392"/>
      <c r="C61" s="1392"/>
      <c r="D61" s="1392"/>
      <c r="E61" s="1392"/>
      <c r="F61" s="1392"/>
      <c r="G61" s="1392"/>
      <c r="H61" s="1392"/>
      <c r="I61" s="1392"/>
      <c r="J61" s="1392"/>
      <c r="K61" s="1392"/>
    </row>
    <row r="62" spans="1:11">
      <c r="A62" s="1392"/>
      <c r="B62" s="1392"/>
      <c r="C62" s="1392"/>
      <c r="D62" s="1392"/>
      <c r="E62" s="1392"/>
      <c r="F62" s="1392"/>
      <c r="G62" s="1392"/>
      <c r="H62" s="1392"/>
      <c r="I62" s="1392"/>
      <c r="J62" s="1392"/>
      <c r="K62" s="1392"/>
    </row>
    <row r="63" spans="1:11">
      <c r="A63" s="1392"/>
      <c r="B63" s="1392"/>
      <c r="C63" s="1392"/>
      <c r="D63" s="1392"/>
      <c r="E63" s="1392"/>
      <c r="F63" s="1392"/>
      <c r="G63" s="1392"/>
      <c r="H63" s="1392"/>
      <c r="I63" s="1392"/>
      <c r="J63" s="1392"/>
      <c r="K63" s="1392"/>
    </row>
    <row r="70" spans="1:11">
      <c r="B70" s="1383"/>
    </row>
    <row r="71" spans="1:11">
      <c r="B71" s="1394"/>
    </row>
    <row r="72" spans="1:11">
      <c r="B72" s="1394"/>
    </row>
    <row r="73" spans="1:11">
      <c r="B73" s="1394"/>
    </row>
    <row r="74" spans="1:11">
      <c r="B74" s="1394"/>
      <c r="D74" s="1398"/>
      <c r="E74" s="1398"/>
      <c r="F74" s="1398"/>
    </row>
    <row r="75" spans="1:11">
      <c r="A75" s="1400"/>
      <c r="B75" s="1392"/>
      <c r="C75" s="1392"/>
      <c r="D75" s="1392"/>
      <c r="E75" s="1392"/>
      <c r="F75" s="1392"/>
      <c r="G75" s="1392"/>
      <c r="H75" s="1392"/>
      <c r="I75" s="1392"/>
      <c r="J75" s="1392"/>
      <c r="K75" s="1392"/>
    </row>
    <row r="76" spans="1:11">
      <c r="A76" s="1392"/>
      <c r="B76" s="1392"/>
      <c r="C76" s="1392"/>
      <c r="D76" s="1392"/>
      <c r="E76" s="1392"/>
      <c r="F76" s="1392"/>
      <c r="G76" s="1392"/>
      <c r="H76" s="1392"/>
      <c r="I76" s="1392"/>
      <c r="J76" s="1392"/>
      <c r="K76" s="1392"/>
    </row>
    <row r="77" spans="1:11">
      <c r="A77" s="1392"/>
      <c r="B77" s="1392"/>
      <c r="C77" s="1392"/>
      <c r="D77" s="1392"/>
      <c r="E77" s="1392"/>
      <c r="F77" s="1392"/>
      <c r="G77" s="1392"/>
      <c r="H77" s="1392"/>
      <c r="I77" s="1392"/>
      <c r="J77" s="1392"/>
      <c r="K77" s="1392"/>
    </row>
    <row r="78" spans="1:11">
      <c r="A78" s="1392"/>
      <c r="B78" s="1392"/>
      <c r="C78" s="1392"/>
      <c r="D78" s="1392"/>
      <c r="E78" s="1392"/>
      <c r="F78" s="1392"/>
      <c r="G78" s="1392"/>
      <c r="H78" s="1392"/>
      <c r="I78" s="1392"/>
      <c r="J78" s="1392"/>
      <c r="K78" s="1392"/>
    </row>
    <row r="79" spans="1:11">
      <c r="A79" s="1392"/>
      <c r="B79" s="1392"/>
      <c r="C79" s="1392"/>
      <c r="D79" s="1401"/>
      <c r="E79" s="1401"/>
      <c r="F79" s="1401"/>
      <c r="G79" s="1392"/>
      <c r="H79" s="1392"/>
      <c r="I79" s="1392"/>
      <c r="J79" s="1392"/>
      <c r="K79" s="1392"/>
    </row>
    <row r="80" spans="1:11">
      <c r="A80" s="1392"/>
      <c r="B80" s="1392"/>
      <c r="C80" s="1392"/>
      <c r="D80" s="1395"/>
      <c r="E80" s="1395"/>
      <c r="F80" s="1395"/>
      <c r="G80" s="1392"/>
      <c r="H80" s="1392"/>
      <c r="I80" s="1392"/>
      <c r="J80" s="1392"/>
      <c r="K80" s="1392"/>
    </row>
    <row r="81" spans="1:11">
      <c r="A81" s="1392"/>
      <c r="B81" s="1392"/>
      <c r="C81" s="1392"/>
      <c r="D81" s="1401"/>
      <c r="E81" s="1401"/>
      <c r="F81" s="1401"/>
      <c r="G81" s="1392"/>
      <c r="H81" s="1392"/>
      <c r="I81" s="1392"/>
      <c r="J81" s="1392"/>
      <c r="K81" s="1392"/>
    </row>
    <row r="82" spans="1:11">
      <c r="A82" s="1392"/>
      <c r="B82" s="1392"/>
      <c r="C82" s="1392"/>
      <c r="D82" s="1392"/>
      <c r="E82" s="1392"/>
      <c r="F82" s="1392"/>
      <c r="G82" s="1392"/>
      <c r="H82" s="1392"/>
      <c r="I82" s="1392"/>
      <c r="J82" s="1392"/>
      <c r="K82" s="1392"/>
    </row>
    <row r="83" spans="1:11">
      <c r="A83" s="1392"/>
      <c r="B83" s="1392"/>
      <c r="C83" s="1392"/>
      <c r="D83" s="1392"/>
      <c r="E83" s="1392"/>
      <c r="F83" s="1392"/>
      <c r="G83" s="1392"/>
      <c r="H83" s="1392"/>
      <c r="I83" s="1392"/>
      <c r="J83" s="1392"/>
      <c r="K83" s="1392"/>
    </row>
    <row r="84" spans="1:11">
      <c r="A84" s="1392"/>
      <c r="B84" s="1392"/>
      <c r="C84" s="1392"/>
      <c r="D84" s="1392"/>
      <c r="E84" s="1392"/>
      <c r="F84" s="1392"/>
      <c r="G84" s="1392"/>
      <c r="H84" s="1392"/>
      <c r="I84" s="1392"/>
      <c r="J84" s="1392"/>
      <c r="K84" s="1392"/>
    </row>
    <row r="85" spans="1:11">
      <c r="A85" s="1392"/>
      <c r="C85" s="1392"/>
      <c r="D85" s="1392"/>
      <c r="E85" s="1392"/>
      <c r="F85" s="1392"/>
      <c r="G85" s="1392"/>
      <c r="H85" s="1392"/>
      <c r="I85" s="1392"/>
      <c r="J85" s="1392"/>
      <c r="K85" s="1392"/>
    </row>
    <row r="86" spans="1:11">
      <c r="A86" s="1392"/>
      <c r="B86" s="1392"/>
      <c r="C86" s="1392"/>
      <c r="D86" s="1392"/>
      <c r="E86" s="1392"/>
      <c r="F86" s="1392"/>
      <c r="G86" s="1392"/>
      <c r="H86" s="1392"/>
      <c r="I86" s="1392"/>
      <c r="J86" s="1392"/>
      <c r="K86" s="1392"/>
    </row>
    <row r="87" spans="1:11">
      <c r="A87" s="1392"/>
      <c r="B87" s="1392"/>
      <c r="C87" s="1392"/>
      <c r="D87" s="1392"/>
      <c r="E87" s="1392"/>
      <c r="F87" s="1392"/>
      <c r="G87" s="1392"/>
      <c r="H87" s="1392"/>
      <c r="I87" s="1392"/>
      <c r="J87" s="1392"/>
      <c r="K87" s="1392"/>
    </row>
  </sheetData>
  <mergeCells count="11">
    <mergeCell ref="B47:I48"/>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1"/>
  <sheetViews>
    <sheetView workbookViewId="0">
      <selection sqref="A1:IV65536"/>
    </sheetView>
  </sheetViews>
  <sheetFormatPr defaultColWidth="11.85546875" defaultRowHeight="12.75"/>
  <cols>
    <col min="1" max="1" width="9" style="1413" customWidth="1"/>
    <col min="2" max="2" width="15" style="1414" bestFit="1" customWidth="1"/>
    <col min="3" max="3" width="4.140625" style="1414" customWidth="1"/>
    <col min="4" max="4" width="21" style="1414" bestFit="1" customWidth="1"/>
    <col min="5" max="5" width="29.7109375" style="1414" bestFit="1" customWidth="1"/>
    <col min="6" max="6" width="21.42578125" style="1414" customWidth="1"/>
    <col min="7" max="7" width="2.42578125" style="1414" customWidth="1"/>
    <col min="8" max="8" width="16.7109375" style="1414" customWidth="1"/>
    <col min="9" max="9" width="3.28515625" style="1414" customWidth="1"/>
    <col min="10" max="10" width="17.42578125" style="1414" customWidth="1"/>
    <col min="11" max="11" width="3.5703125" style="1414" customWidth="1"/>
    <col min="12" max="12" width="20.5703125" style="1414" customWidth="1"/>
    <col min="13" max="13" width="16.7109375" style="1414" customWidth="1"/>
    <col min="14" max="14" width="3.5703125" style="1414" customWidth="1"/>
    <col min="15" max="15" width="19.140625" style="1414" bestFit="1" customWidth="1"/>
    <col min="16" max="16" width="16" style="1417" bestFit="1" customWidth="1"/>
    <col min="17" max="17" width="15.28515625" style="1414" bestFit="1" customWidth="1"/>
    <col min="18" max="16384" width="11.85546875" style="1414"/>
  </cols>
  <sheetData>
    <row r="1" spans="1:18" ht="15">
      <c r="A1" s="1413" t="s">
        <v>1020</v>
      </c>
      <c r="L1" s="1415"/>
      <c r="M1" s="1415"/>
      <c r="O1" s="1416" t="s">
        <v>1021</v>
      </c>
    </row>
    <row r="2" spans="1:18">
      <c r="A2" s="1418" t="s">
        <v>1022</v>
      </c>
      <c r="O2" s="1340" t="s">
        <v>1023</v>
      </c>
    </row>
    <row r="3" spans="1:18">
      <c r="A3" s="1413" t="s">
        <v>1017</v>
      </c>
      <c r="O3" s="1340" t="s">
        <v>1024</v>
      </c>
    </row>
    <row r="4" spans="1:18">
      <c r="A4" s="1413" t="s">
        <v>1025</v>
      </c>
      <c r="O4" s="1416" t="s">
        <v>1026</v>
      </c>
    </row>
    <row r="5" spans="1:18">
      <c r="A5" s="1413" t="s">
        <v>1027</v>
      </c>
    </row>
    <row r="6" spans="1:18">
      <c r="A6" s="1413" t="s">
        <v>913</v>
      </c>
    </row>
    <row r="7" spans="1:18">
      <c r="A7" s="1506" t="s">
        <v>1028</v>
      </c>
      <c r="B7" s="1506"/>
      <c r="C7" s="1506"/>
      <c r="D7" s="1506"/>
      <c r="E7" s="1506"/>
      <c r="F7" s="1506"/>
      <c r="G7" s="1506"/>
      <c r="H7" s="1506"/>
      <c r="I7" s="1506"/>
      <c r="J7" s="1506"/>
      <c r="K7" s="1506"/>
      <c r="L7" s="1506"/>
      <c r="M7" s="1419"/>
      <c r="N7" s="1420"/>
      <c r="O7" s="1420"/>
    </row>
    <row r="8" spans="1:18">
      <c r="A8" s="1421"/>
    </row>
    <row r="9" spans="1:18">
      <c r="A9" s="1422" t="s">
        <v>440</v>
      </c>
      <c r="B9" s="1423" t="s">
        <v>441</v>
      </c>
      <c r="C9" s="1423"/>
      <c r="D9" s="1423" t="s">
        <v>442</v>
      </c>
      <c r="E9" s="1423" t="s">
        <v>443</v>
      </c>
      <c r="F9" s="1423" t="s">
        <v>444</v>
      </c>
      <c r="G9" s="1423"/>
      <c r="H9" s="1423" t="s">
        <v>1029</v>
      </c>
      <c r="I9" s="1423"/>
      <c r="J9" s="1423" t="s">
        <v>446</v>
      </c>
      <c r="K9" s="1423"/>
      <c r="L9" s="1423" t="s">
        <v>1030</v>
      </c>
      <c r="M9" s="1423" t="s">
        <v>448</v>
      </c>
      <c r="N9" s="1423"/>
      <c r="O9" s="1423" t="s">
        <v>1031</v>
      </c>
      <c r="R9" s="1507"/>
    </row>
    <row r="10" spans="1:18">
      <c r="A10" s="1421"/>
      <c r="F10" s="1425"/>
      <c r="G10" s="1425"/>
      <c r="H10" s="1425"/>
      <c r="R10" s="1507"/>
    </row>
    <row r="11" spans="1:18" ht="38.25">
      <c r="A11" s="1426" t="s">
        <v>1032</v>
      </c>
      <c r="B11" s="1414" t="s">
        <v>1033</v>
      </c>
      <c r="D11" s="1424" t="s">
        <v>1034</v>
      </c>
      <c r="E11" s="1423" t="s">
        <v>926</v>
      </c>
      <c r="F11" s="1427" t="s">
        <v>1035</v>
      </c>
      <c r="G11" s="1427"/>
      <c r="H11" s="1427" t="s">
        <v>1036</v>
      </c>
      <c r="I11" s="1207"/>
      <c r="J11" s="1427" t="s">
        <v>1037</v>
      </c>
      <c r="K11" s="1428"/>
      <c r="L11" s="1427" t="s">
        <v>1038</v>
      </c>
      <c r="M11" s="1429" t="s">
        <v>1039</v>
      </c>
      <c r="O11" s="1424" t="s">
        <v>1040</v>
      </c>
    </row>
    <row r="12" spans="1:18">
      <c r="D12" s="1417"/>
      <c r="E12" s="1417"/>
      <c r="F12" s="1417"/>
      <c r="G12" s="1417"/>
      <c r="H12" s="1417"/>
      <c r="I12" s="1430"/>
      <c r="J12" s="1417"/>
      <c r="K12" s="1417"/>
      <c r="L12" s="1417"/>
      <c r="M12" s="1417"/>
      <c r="N12" s="1417"/>
      <c r="O12" s="1417"/>
    </row>
    <row r="13" spans="1:18">
      <c r="A13" s="1431" t="s">
        <v>1041</v>
      </c>
      <c r="B13" s="1432" t="s">
        <v>1042</v>
      </c>
      <c r="D13" s="1417">
        <v>6412208</v>
      </c>
      <c r="E13" s="1417" t="s">
        <v>1043</v>
      </c>
      <c r="F13" s="1433">
        <v>2463331.4500000002</v>
      </c>
      <c r="G13" s="1434"/>
      <c r="H13" s="1435">
        <f>+F13/D13</f>
        <v>0.38416274861950833</v>
      </c>
      <c r="I13" s="1430"/>
      <c r="J13" s="1433">
        <f>-F13</f>
        <v>-2463331.4500000002</v>
      </c>
      <c r="K13" s="1417"/>
      <c r="L13" s="1433">
        <f>+F13+J13</f>
        <v>0</v>
      </c>
      <c r="M13" s="1433"/>
      <c r="N13" s="1433"/>
      <c r="O13" s="1433">
        <f>+D13-L13</f>
        <v>6412208</v>
      </c>
    </row>
    <row r="14" spans="1:18">
      <c r="A14" s="1431"/>
      <c r="B14" s="1432"/>
      <c r="D14" s="1417"/>
      <c r="E14" s="1417"/>
      <c r="F14" s="1436"/>
      <c r="G14" s="1437"/>
      <c r="H14" s="1437"/>
      <c r="I14" s="1430"/>
      <c r="J14" s="1433"/>
      <c r="K14" s="1417"/>
      <c r="L14" s="1433"/>
      <c r="M14" s="1433"/>
      <c r="N14" s="1433"/>
      <c r="O14" s="1433"/>
    </row>
    <row r="15" spans="1:18">
      <c r="A15" s="1431" t="s">
        <v>1044</v>
      </c>
      <c r="B15" s="1432" t="s">
        <v>1045</v>
      </c>
      <c r="D15" s="1417">
        <v>-428828741</v>
      </c>
      <c r="E15" s="1417" t="s">
        <v>1046</v>
      </c>
      <c r="F15" s="1433">
        <v>-171531495.97999999</v>
      </c>
      <c r="G15" s="1435"/>
      <c r="H15" s="1435">
        <f>+F15/D15</f>
        <v>0.39999999902058803</v>
      </c>
      <c r="I15" s="1430"/>
      <c r="J15" s="1433">
        <v>0</v>
      </c>
      <c r="K15" s="1417"/>
      <c r="L15" s="1433">
        <f>+F15+J15-L16</f>
        <v>-174081688.97999999</v>
      </c>
      <c r="M15" s="1433" t="s">
        <v>937</v>
      </c>
      <c r="N15" s="1433"/>
      <c r="O15" s="1433">
        <f>+D15-L15-L16</f>
        <v>-257297245.02000001</v>
      </c>
      <c r="P15" s="1438"/>
    </row>
    <row r="16" spans="1:18">
      <c r="A16" s="1431"/>
      <c r="B16" s="1432"/>
      <c r="D16" s="1417"/>
      <c r="E16" s="1417"/>
      <c r="F16" s="1439"/>
      <c r="G16" s="1440"/>
      <c r="H16" s="1440"/>
      <c r="I16" s="1430"/>
      <c r="J16" s="1433"/>
      <c r="K16" s="1417"/>
      <c r="L16" s="1433">
        <v>2550193</v>
      </c>
      <c r="M16" s="1433" t="s">
        <v>941</v>
      </c>
      <c r="N16" s="1433"/>
      <c r="O16" s="1433"/>
    </row>
    <row r="17" spans="1:16">
      <c r="A17" s="1431" t="s">
        <v>1047</v>
      </c>
      <c r="B17" s="1432" t="s">
        <v>1048</v>
      </c>
      <c r="D17" s="1417">
        <v>-1990622</v>
      </c>
      <c r="E17" s="1417" t="s">
        <v>1049</v>
      </c>
      <c r="F17" s="1439"/>
      <c r="G17" s="1439"/>
      <c r="H17" s="1439"/>
      <c r="I17" s="1430"/>
      <c r="J17" s="1439"/>
      <c r="L17" s="1441"/>
      <c r="M17" s="1441"/>
      <c r="N17" s="1439"/>
      <c r="O17" s="1433"/>
      <c r="P17" s="1414"/>
    </row>
    <row r="18" spans="1:16">
      <c r="A18" s="1431"/>
      <c r="B18" s="1432"/>
      <c r="D18" s="1442">
        <f>+D17</f>
        <v>-1990622</v>
      </c>
      <c r="E18" s="1417" t="s">
        <v>1050</v>
      </c>
      <c r="F18" s="1441"/>
      <c r="G18" s="1437"/>
      <c r="H18" s="1437"/>
      <c r="I18" s="1430"/>
      <c r="J18" s="1433"/>
      <c r="K18" s="1417"/>
      <c r="L18" s="1433"/>
      <c r="M18" s="1433"/>
      <c r="N18" s="1433"/>
      <c r="O18" s="1433"/>
    </row>
    <row r="19" spans="1:16">
      <c r="A19" s="1431" t="s">
        <v>1051</v>
      </c>
      <c r="B19" s="1432" t="s">
        <v>1052</v>
      </c>
      <c r="D19" s="1417">
        <f>+D17-D18</f>
        <v>0</v>
      </c>
      <c r="E19" s="1417"/>
      <c r="F19" s="1433">
        <v>0</v>
      </c>
      <c r="G19" s="1437"/>
      <c r="H19" s="1443" t="s">
        <v>932</v>
      </c>
      <c r="I19" s="1430"/>
      <c r="J19" s="1433">
        <f>-J13-J15</f>
        <v>2463331.4500000002</v>
      </c>
      <c r="K19" s="1417"/>
      <c r="L19" s="1433">
        <f>+F19+J19</f>
        <v>2463331.4500000002</v>
      </c>
      <c r="M19" s="1433" t="s">
        <v>941</v>
      </c>
      <c r="N19" s="1433"/>
      <c r="O19" s="1433">
        <f>+D19-L19</f>
        <v>-2463331.4500000002</v>
      </c>
    </row>
    <row r="20" spans="1:16">
      <c r="A20" s="1431"/>
      <c r="D20" s="1417"/>
      <c r="E20" s="1417"/>
      <c r="F20" s="1436"/>
      <c r="G20" s="1437"/>
      <c r="H20" s="1437"/>
      <c r="I20" s="1430"/>
      <c r="J20" s="1433"/>
      <c r="K20" s="1417"/>
      <c r="L20" s="1417"/>
      <c r="M20" s="1417"/>
      <c r="N20" s="1417"/>
      <c r="O20" s="1417"/>
    </row>
    <row r="21" spans="1:16">
      <c r="A21" s="1431" t="s">
        <v>1053</v>
      </c>
      <c r="B21" s="1414" t="s">
        <v>412</v>
      </c>
      <c r="D21" s="1444">
        <f>+D13+D15+D19</f>
        <v>-422416533</v>
      </c>
      <c r="E21" s="1417"/>
      <c r="F21" s="1444">
        <f>SUM(F13:F19)</f>
        <v>-169068164.53</v>
      </c>
      <c r="G21" s="1430"/>
      <c r="H21" s="1430"/>
      <c r="I21" s="1430"/>
      <c r="J21" s="1444">
        <f>SUM(J13:J19)</f>
        <v>0</v>
      </c>
      <c r="K21" s="1417"/>
      <c r="L21" s="1444">
        <f>SUM(L13:L19)</f>
        <v>-169068164.53</v>
      </c>
      <c r="M21" s="1445"/>
      <c r="N21" s="1417"/>
      <c r="O21" s="1444">
        <f>SUM(O13:O19)</f>
        <v>-253348368.47</v>
      </c>
    </row>
    <row r="22" spans="1:16">
      <c r="A22" s="1431"/>
      <c r="D22" s="1417"/>
      <c r="E22" s="1417"/>
      <c r="F22" s="1446"/>
      <c r="G22" s="1446"/>
      <c r="H22" s="1446"/>
      <c r="I22" s="1430"/>
      <c r="J22" s="1417"/>
      <c r="K22" s="1417"/>
      <c r="L22" s="1417"/>
      <c r="M22" s="1417"/>
      <c r="N22" s="1417"/>
      <c r="O22" s="1417"/>
    </row>
    <row r="23" spans="1:16">
      <c r="A23" s="1414"/>
      <c r="I23" s="1430"/>
      <c r="J23" s="1417"/>
      <c r="K23" s="1417"/>
      <c r="N23" s="1417"/>
      <c r="O23" s="1417"/>
    </row>
    <row r="24" spans="1:16" ht="15">
      <c r="A24" s="1447"/>
      <c r="B24" s="1447"/>
      <c r="C24" s="1447"/>
      <c r="D24" s="1447"/>
      <c r="E24" s="1447"/>
      <c r="F24" s="1447"/>
      <c r="G24" s="1447"/>
      <c r="H24" s="1447"/>
      <c r="I24" s="1447"/>
      <c r="J24" s="1417"/>
      <c r="K24" s="1417"/>
      <c r="N24" s="1417"/>
      <c r="O24" s="1417"/>
    </row>
    <row r="25" spans="1:16" ht="15">
      <c r="A25" s="1447"/>
      <c r="B25" s="1447"/>
      <c r="C25" s="1447"/>
      <c r="D25" s="1447"/>
      <c r="E25" s="1447"/>
      <c r="F25" s="1447"/>
      <c r="G25" s="1447"/>
      <c r="H25" s="1447"/>
      <c r="I25" s="1447"/>
      <c r="J25" s="1417"/>
      <c r="K25" s="1417"/>
      <c r="N25" s="1417"/>
      <c r="O25" s="1417"/>
    </row>
    <row r="26" spans="1:16" ht="12.75" customHeight="1">
      <c r="A26" s="1508" t="s">
        <v>1054</v>
      </c>
      <c r="B26" s="1508"/>
      <c r="C26" s="1508"/>
      <c r="D26" s="1508"/>
      <c r="E26" s="1508"/>
      <c r="F26" s="1508"/>
      <c r="G26" s="1508"/>
      <c r="H26" s="1508"/>
      <c r="I26" s="1508"/>
      <c r="J26" s="1448"/>
      <c r="K26" s="1448"/>
      <c r="N26" s="1417"/>
      <c r="O26" s="1417"/>
    </row>
    <row r="27" spans="1:16">
      <c r="A27" s="1508"/>
      <c r="B27" s="1508"/>
      <c r="C27" s="1508"/>
      <c r="D27" s="1508"/>
      <c r="E27" s="1508"/>
      <c r="F27" s="1508"/>
      <c r="G27" s="1508"/>
      <c r="H27" s="1508"/>
      <c r="I27" s="1508"/>
      <c r="J27" s="1448"/>
      <c r="K27" s="1448"/>
      <c r="N27" s="1417"/>
      <c r="O27" s="1417"/>
    </row>
    <row r="28" spans="1:16">
      <c r="A28" s="1508"/>
      <c r="B28" s="1508"/>
      <c r="C28" s="1508"/>
      <c r="D28" s="1508"/>
      <c r="E28" s="1508"/>
      <c r="F28" s="1508"/>
      <c r="G28" s="1508"/>
      <c r="H28" s="1508"/>
      <c r="I28" s="1508"/>
      <c r="J28" s="1448"/>
      <c r="K28" s="1448"/>
      <c r="N28" s="1417"/>
      <c r="O28" s="1417"/>
    </row>
    <row r="29" spans="1:16" ht="12.6" customHeight="1">
      <c r="A29" s="1449"/>
      <c r="B29" s="1449"/>
      <c r="C29" s="1449"/>
      <c r="D29" s="1449"/>
      <c r="E29" s="1449"/>
      <c r="F29" s="1449"/>
      <c r="G29" s="1449"/>
      <c r="H29" s="1449"/>
      <c r="I29" s="1449"/>
      <c r="J29" s="1448"/>
      <c r="K29" s="1448"/>
      <c r="N29" s="1417"/>
      <c r="O29" s="1417"/>
    </row>
    <row r="30" spans="1:16" ht="38.25" customHeight="1">
      <c r="A30" s="1450" t="s">
        <v>1055</v>
      </c>
      <c r="B30" s="1508" t="s">
        <v>1056</v>
      </c>
      <c r="C30" s="1508"/>
      <c r="D30" s="1508"/>
      <c r="E30" s="1508"/>
      <c r="F30" s="1508"/>
      <c r="G30" s="1508"/>
      <c r="H30" s="1508"/>
      <c r="I30" s="1508"/>
      <c r="J30" s="1508"/>
      <c r="K30" s="1508"/>
      <c r="N30" s="1417"/>
      <c r="O30" s="1417"/>
    </row>
    <row r="31" spans="1:16">
      <c r="A31" s="1426"/>
      <c r="B31" s="1451"/>
      <c r="C31" s="1451"/>
      <c r="D31" s="1451"/>
      <c r="E31" s="1451"/>
      <c r="F31" s="1451"/>
      <c r="G31" s="1451"/>
      <c r="H31" s="1451"/>
    </row>
    <row r="32" spans="1:16" ht="12.6" customHeight="1">
      <c r="A32" s="1426" t="s">
        <v>1057</v>
      </c>
      <c r="B32" s="1451" t="s">
        <v>1058</v>
      </c>
      <c r="C32" s="1451"/>
      <c r="D32" s="1451"/>
      <c r="E32" s="1451"/>
    </row>
    <row r="33" spans="1:17">
      <c r="A33" s="1414"/>
    </row>
    <row r="34" spans="1:17">
      <c r="A34" s="1414"/>
    </row>
    <row r="35" spans="1:17" ht="12.75" customHeight="1">
      <c r="A35" s="1426" t="s">
        <v>1059</v>
      </c>
      <c r="B35" s="1509" t="s">
        <v>1060</v>
      </c>
      <c r="C35" s="1509"/>
      <c r="D35" s="1509"/>
      <c r="E35" s="1509"/>
      <c r="F35" s="1509"/>
      <c r="G35" s="1509"/>
      <c r="H35" s="1509"/>
      <c r="I35" s="1509"/>
    </row>
    <row r="36" spans="1:17">
      <c r="A36" s="1426"/>
      <c r="B36" s="1509"/>
      <c r="C36" s="1509"/>
      <c r="D36" s="1509"/>
      <c r="E36" s="1509"/>
      <c r="F36" s="1509"/>
      <c r="G36" s="1509"/>
      <c r="H36" s="1509"/>
      <c r="I36" s="1509"/>
      <c r="J36" s="1430"/>
      <c r="K36" s="1430"/>
      <c r="L36" s="1430"/>
      <c r="M36" s="1430"/>
      <c r="N36" s="1430"/>
      <c r="O36" s="1430"/>
      <c r="P36" s="1430"/>
      <c r="Q36" s="1430"/>
    </row>
    <row r="37" spans="1:17">
      <c r="A37" s="1430"/>
      <c r="B37" s="1430"/>
      <c r="C37" s="1430"/>
      <c r="D37" s="1430"/>
      <c r="E37" s="1430"/>
      <c r="F37" s="1430"/>
      <c r="G37" s="1430"/>
      <c r="H37" s="1430"/>
      <c r="I37" s="1430"/>
      <c r="J37" s="1430"/>
      <c r="K37" s="1430"/>
      <c r="L37" s="1430"/>
      <c r="M37" s="1430"/>
      <c r="N37" s="1430"/>
      <c r="O37" s="1430"/>
      <c r="P37" s="1430"/>
      <c r="Q37" s="1430"/>
    </row>
    <row r="38" spans="1:17">
      <c r="A38" s="1426" t="s">
        <v>1061</v>
      </c>
      <c r="B38" s="1505" t="s">
        <v>1062</v>
      </c>
      <c r="C38" s="1505"/>
      <c r="D38" s="1505"/>
      <c r="E38" s="1505"/>
      <c r="F38" s="1505"/>
      <c r="G38" s="1430"/>
      <c r="H38" s="1430"/>
      <c r="I38" s="1430"/>
      <c r="J38" s="1430"/>
      <c r="K38" s="1430"/>
      <c r="L38" s="1430"/>
      <c r="M38" s="1430"/>
      <c r="N38" s="1430"/>
      <c r="O38" s="1430"/>
      <c r="P38" s="1430"/>
      <c r="Q38" s="1430"/>
    </row>
    <row r="39" spans="1:17">
      <c r="A39" s="1426"/>
      <c r="B39" s="1505"/>
      <c r="C39" s="1505"/>
      <c r="D39" s="1505"/>
      <c r="E39" s="1505"/>
      <c r="F39" s="1505"/>
      <c r="G39" s="1430"/>
      <c r="H39" s="1430"/>
      <c r="I39" s="1430"/>
      <c r="J39" s="1430"/>
      <c r="K39" s="1430"/>
      <c r="L39" s="1430"/>
      <c r="M39" s="1430"/>
      <c r="N39" s="1430"/>
      <c r="O39" s="1430"/>
      <c r="P39" s="1430"/>
      <c r="Q39" s="1430"/>
    </row>
    <row r="40" spans="1:17" ht="9.9499999999999993" customHeight="1">
      <c r="A40" s="1430"/>
      <c r="B40" s="1430"/>
      <c r="C40" s="1430"/>
      <c r="D40" s="1430"/>
      <c r="E40" s="1430"/>
      <c r="F40" s="1430"/>
      <c r="G40" s="1430"/>
      <c r="H40" s="1430"/>
      <c r="I40" s="1430"/>
      <c r="J40" s="1430"/>
      <c r="K40" s="1430"/>
      <c r="L40" s="1430"/>
      <c r="M40" s="1430"/>
      <c r="N40" s="1430"/>
      <c r="O40" s="1430"/>
      <c r="P40" s="1430"/>
      <c r="Q40" s="1430"/>
    </row>
    <row r="41" spans="1:17">
      <c r="A41" s="1430"/>
      <c r="B41" s="1430"/>
      <c r="C41" s="1430"/>
      <c r="D41" s="1430"/>
      <c r="E41" s="1430"/>
      <c r="F41" s="1430"/>
      <c r="G41" s="1430"/>
      <c r="H41" s="1430"/>
      <c r="I41" s="1430"/>
      <c r="J41" s="1430"/>
      <c r="K41" s="1430"/>
      <c r="L41" s="1430"/>
      <c r="M41" s="1430"/>
      <c r="N41" s="1430"/>
      <c r="O41" s="1430"/>
      <c r="P41" s="1430"/>
      <c r="Q41" s="1430"/>
    </row>
    <row r="42" spans="1:17">
      <c r="A42" s="1430"/>
      <c r="B42" s="1430"/>
      <c r="C42" s="1430"/>
      <c r="D42" s="1430"/>
      <c r="E42" s="1430"/>
      <c r="F42" s="1430"/>
      <c r="G42" s="1430"/>
      <c r="H42" s="1430"/>
      <c r="I42" s="1430"/>
      <c r="J42" s="1430"/>
      <c r="K42" s="1430"/>
      <c r="L42" s="1430"/>
      <c r="M42" s="1430"/>
      <c r="N42" s="1430"/>
      <c r="O42" s="1430"/>
      <c r="P42" s="1430"/>
      <c r="Q42" s="1430"/>
    </row>
    <row r="43" spans="1:17">
      <c r="A43" s="1430"/>
      <c r="B43" s="1430"/>
      <c r="C43" s="1430"/>
      <c r="D43" s="1430"/>
      <c r="E43" s="1430"/>
      <c r="F43" s="1430"/>
      <c r="G43" s="1430"/>
      <c r="H43" s="1430"/>
      <c r="I43" s="1430"/>
      <c r="J43" s="1430"/>
      <c r="K43" s="1430"/>
      <c r="L43" s="1430"/>
      <c r="M43" s="1430"/>
      <c r="N43" s="1430"/>
      <c r="O43" s="1430"/>
      <c r="P43" s="1430"/>
      <c r="Q43" s="1430"/>
    </row>
    <row r="44" spans="1:17">
      <c r="A44" s="1430"/>
      <c r="B44" s="1430"/>
      <c r="C44" s="1430"/>
      <c r="D44" s="1430"/>
      <c r="E44" s="1430"/>
      <c r="F44" s="1430"/>
      <c r="G44" s="1430"/>
      <c r="H44" s="1430"/>
      <c r="I44" s="1430"/>
      <c r="J44" s="1430"/>
      <c r="K44" s="1430"/>
      <c r="L44" s="1430"/>
      <c r="M44" s="1430"/>
      <c r="N44" s="1430"/>
      <c r="O44" s="1430"/>
      <c r="P44" s="1430"/>
      <c r="Q44" s="1430"/>
    </row>
    <row r="45" spans="1:17">
      <c r="A45" s="1430"/>
      <c r="B45" s="1430"/>
      <c r="C45" s="1430"/>
      <c r="D45" s="1430"/>
      <c r="E45" s="1430"/>
      <c r="F45" s="1430"/>
      <c r="G45" s="1430"/>
      <c r="H45" s="1430"/>
      <c r="I45" s="1430"/>
      <c r="J45" s="1430"/>
      <c r="K45" s="1430"/>
      <c r="L45" s="1430"/>
      <c r="M45" s="1430"/>
      <c r="N45" s="1430"/>
      <c r="O45" s="1430"/>
      <c r="P45" s="1430"/>
      <c r="Q45" s="1430"/>
    </row>
    <row r="46" spans="1:17">
      <c r="A46" s="1430"/>
      <c r="B46" s="1430"/>
      <c r="C46" s="1430"/>
      <c r="D46" s="1430"/>
      <c r="E46" s="1430"/>
      <c r="F46" s="1430"/>
      <c r="G46" s="1430"/>
      <c r="H46" s="1430"/>
      <c r="I46" s="1430"/>
      <c r="J46" s="1430"/>
      <c r="K46" s="1430"/>
      <c r="L46" s="1430"/>
      <c r="M46" s="1430"/>
      <c r="N46" s="1430"/>
      <c r="O46" s="1430"/>
      <c r="P46" s="1430"/>
      <c r="Q46" s="1430"/>
    </row>
    <row r="47" spans="1:17">
      <c r="A47" s="1430"/>
      <c r="B47" s="1430"/>
      <c r="C47" s="1430"/>
      <c r="D47" s="1430"/>
      <c r="E47" s="1430"/>
      <c r="F47" s="1430"/>
      <c r="G47" s="1430"/>
      <c r="H47" s="1430"/>
      <c r="I47" s="1430"/>
      <c r="J47" s="1430"/>
      <c r="K47" s="1430"/>
      <c r="L47" s="1430"/>
      <c r="M47" s="1430"/>
      <c r="N47" s="1430"/>
      <c r="O47" s="1430"/>
      <c r="P47" s="1430"/>
      <c r="Q47" s="1430"/>
    </row>
    <row r="48" spans="1:17">
      <c r="A48" s="1430"/>
      <c r="B48" s="1430"/>
      <c r="C48" s="1430"/>
      <c r="D48" s="1430"/>
      <c r="E48" s="1430"/>
      <c r="F48" s="1430"/>
      <c r="G48" s="1430"/>
      <c r="H48" s="1430"/>
      <c r="I48" s="1430"/>
      <c r="J48" s="1430"/>
      <c r="K48" s="1430"/>
      <c r="L48" s="1430"/>
      <c r="M48" s="1430"/>
      <c r="N48" s="1430"/>
      <c r="O48" s="1430"/>
      <c r="P48" s="1430"/>
      <c r="Q48" s="1430"/>
    </row>
    <row r="49" spans="1:17">
      <c r="A49" s="1430"/>
      <c r="B49" s="1430"/>
      <c r="C49" s="1430"/>
      <c r="D49" s="1430"/>
      <c r="E49" s="1430"/>
      <c r="F49" s="1430"/>
      <c r="G49" s="1430"/>
      <c r="H49" s="1430"/>
      <c r="I49" s="1430"/>
      <c r="J49" s="1430"/>
      <c r="K49" s="1430"/>
      <c r="L49" s="1430"/>
      <c r="M49" s="1430"/>
      <c r="N49" s="1430"/>
      <c r="O49" s="1430"/>
      <c r="P49" s="1430"/>
      <c r="Q49" s="1430"/>
    </row>
    <row r="50" spans="1:17">
      <c r="A50" s="1430"/>
      <c r="B50" s="1430"/>
      <c r="C50" s="1430"/>
      <c r="D50" s="1430"/>
      <c r="E50" s="1430"/>
      <c r="F50" s="1430"/>
      <c r="G50" s="1430"/>
      <c r="H50" s="1430"/>
      <c r="I50" s="1430"/>
      <c r="J50" s="1430"/>
      <c r="K50" s="1430"/>
      <c r="L50" s="1430"/>
      <c r="M50" s="1430"/>
      <c r="N50" s="1430"/>
      <c r="O50" s="1430"/>
      <c r="P50" s="1430"/>
      <c r="Q50" s="1430"/>
    </row>
    <row r="51" spans="1:17">
      <c r="A51" s="1430"/>
      <c r="B51" s="1430"/>
      <c r="C51" s="1430"/>
      <c r="D51" s="1430"/>
      <c r="E51" s="1430"/>
      <c r="F51" s="1430"/>
      <c r="G51" s="1430"/>
      <c r="H51" s="1430"/>
      <c r="I51" s="1430"/>
      <c r="J51" s="1430"/>
      <c r="K51" s="1430"/>
      <c r="L51" s="1430"/>
      <c r="M51" s="1430"/>
      <c r="N51" s="1430"/>
      <c r="O51" s="1430"/>
      <c r="P51" s="1430"/>
      <c r="Q51" s="1430"/>
    </row>
    <row r="52" spans="1:17">
      <c r="A52" s="1430"/>
      <c r="B52" s="1430"/>
      <c r="C52" s="1430"/>
      <c r="D52" s="1430"/>
      <c r="E52" s="1430"/>
      <c r="F52" s="1430"/>
      <c r="G52" s="1430"/>
      <c r="H52" s="1430"/>
      <c r="I52" s="1430"/>
      <c r="J52" s="1430"/>
      <c r="K52" s="1430"/>
      <c r="L52" s="1430"/>
      <c r="M52" s="1430"/>
      <c r="N52" s="1430"/>
      <c r="O52" s="1430"/>
      <c r="P52" s="1430"/>
      <c r="Q52" s="1430"/>
    </row>
    <row r="53" spans="1:17">
      <c r="A53" s="1430"/>
      <c r="B53" s="1430"/>
      <c r="C53" s="1430"/>
      <c r="D53" s="1430"/>
      <c r="E53" s="1430"/>
      <c r="F53" s="1430"/>
      <c r="G53" s="1430"/>
      <c r="H53" s="1430"/>
      <c r="I53" s="1430"/>
      <c r="J53" s="1430"/>
      <c r="K53" s="1430"/>
      <c r="L53" s="1430"/>
      <c r="M53" s="1430"/>
      <c r="N53" s="1430"/>
      <c r="O53" s="1430"/>
      <c r="P53" s="1430"/>
      <c r="Q53" s="1430"/>
    </row>
    <row r="54" spans="1:17">
      <c r="A54" s="1430"/>
      <c r="B54" s="1430"/>
      <c r="C54" s="1430"/>
      <c r="D54" s="1430"/>
      <c r="E54" s="1430"/>
      <c r="F54" s="1430"/>
      <c r="G54" s="1430"/>
      <c r="H54" s="1430"/>
      <c r="I54" s="1430"/>
      <c r="J54" s="1430"/>
      <c r="K54" s="1430"/>
      <c r="L54" s="1430"/>
      <c r="M54" s="1430"/>
      <c r="N54" s="1430"/>
      <c r="O54" s="1430"/>
      <c r="P54" s="1430"/>
      <c r="Q54" s="1430"/>
    </row>
    <row r="55" spans="1:17">
      <c r="A55" s="1430"/>
      <c r="B55" s="1430"/>
      <c r="C55" s="1430"/>
      <c r="D55" s="1430"/>
      <c r="E55" s="1430"/>
      <c r="F55" s="1430"/>
      <c r="G55" s="1430"/>
      <c r="H55" s="1430"/>
      <c r="I55" s="1430"/>
      <c r="J55" s="1430"/>
      <c r="K55" s="1430"/>
      <c r="L55" s="1430"/>
      <c r="M55" s="1430"/>
      <c r="N55" s="1430"/>
      <c r="O55" s="1430"/>
      <c r="P55" s="1430"/>
      <c r="Q55" s="1430"/>
    </row>
    <row r="56" spans="1:17">
      <c r="A56" s="1430"/>
      <c r="B56" s="1430"/>
      <c r="C56" s="1430"/>
      <c r="D56" s="1430"/>
      <c r="E56" s="1430"/>
      <c r="F56" s="1430"/>
      <c r="G56" s="1430"/>
      <c r="H56" s="1430"/>
      <c r="I56" s="1430"/>
      <c r="J56" s="1430"/>
      <c r="K56" s="1430"/>
      <c r="L56" s="1430"/>
      <c r="M56" s="1430"/>
      <c r="N56" s="1430"/>
      <c r="O56" s="1430"/>
      <c r="P56" s="1430"/>
      <c r="Q56" s="1430"/>
    </row>
    <row r="57" spans="1:17">
      <c r="A57" s="1430"/>
      <c r="B57" s="1430"/>
      <c r="C57" s="1430"/>
      <c r="D57" s="1430"/>
      <c r="E57" s="1430"/>
      <c r="F57" s="1430"/>
      <c r="G57" s="1430"/>
      <c r="H57" s="1430"/>
      <c r="I57" s="1430"/>
      <c r="J57" s="1430"/>
      <c r="K57" s="1430"/>
      <c r="L57" s="1430"/>
      <c r="M57" s="1430"/>
      <c r="N57" s="1430"/>
      <c r="O57" s="1430"/>
      <c r="P57" s="1430"/>
      <c r="Q57" s="1430"/>
    </row>
    <row r="58" spans="1:17">
      <c r="A58" s="1430"/>
      <c r="B58" s="1430"/>
      <c r="C58" s="1430"/>
      <c r="D58" s="1430"/>
      <c r="E58" s="1430"/>
      <c r="F58" s="1430"/>
      <c r="G58" s="1430"/>
      <c r="H58" s="1430"/>
      <c r="I58" s="1430"/>
      <c r="J58" s="1430"/>
      <c r="K58" s="1430"/>
      <c r="L58" s="1430"/>
      <c r="M58" s="1430"/>
      <c r="N58" s="1430"/>
      <c r="O58" s="1430"/>
      <c r="P58" s="1430"/>
      <c r="Q58" s="1430"/>
    </row>
    <row r="59" spans="1:17">
      <c r="A59" s="1430"/>
      <c r="B59" s="1430"/>
      <c r="C59" s="1430"/>
      <c r="D59" s="1430"/>
      <c r="E59" s="1430"/>
      <c r="F59" s="1430"/>
      <c r="G59" s="1430"/>
      <c r="H59" s="1430"/>
      <c r="I59" s="1430"/>
      <c r="J59" s="1430"/>
      <c r="K59" s="1430"/>
      <c r="L59" s="1430"/>
      <c r="M59" s="1430"/>
      <c r="N59" s="1430"/>
      <c r="O59" s="1430"/>
      <c r="P59" s="1430"/>
      <c r="Q59" s="1430"/>
    </row>
    <row r="60" spans="1:17">
      <c r="A60" s="1430"/>
      <c r="B60" s="1430"/>
      <c r="C60" s="1430"/>
      <c r="D60" s="1430"/>
      <c r="E60" s="1430"/>
      <c r="F60" s="1430"/>
      <c r="G60" s="1430"/>
      <c r="H60" s="1430"/>
      <c r="I60" s="1430"/>
      <c r="J60" s="1430"/>
      <c r="K60" s="1430"/>
      <c r="L60" s="1430"/>
      <c r="M60" s="1430"/>
      <c r="N60" s="1430"/>
      <c r="O60" s="1430"/>
      <c r="P60" s="1430"/>
      <c r="Q60" s="1430"/>
    </row>
    <row r="61" spans="1:17">
      <c r="A61" s="1430"/>
      <c r="B61" s="1430"/>
      <c r="C61" s="1430"/>
      <c r="D61" s="1430"/>
      <c r="E61" s="1430"/>
      <c r="F61" s="1430"/>
      <c r="G61" s="1430"/>
      <c r="H61" s="1430"/>
      <c r="I61" s="1430"/>
      <c r="J61" s="1430"/>
      <c r="K61" s="1430"/>
      <c r="L61" s="1430"/>
      <c r="M61" s="1430"/>
      <c r="N61" s="1430"/>
      <c r="O61" s="1430"/>
      <c r="P61" s="1430"/>
      <c r="Q61" s="1430"/>
    </row>
  </sheetData>
  <mergeCells count="6">
    <mergeCell ref="B38:F39"/>
    <mergeCell ref="A7:L7"/>
    <mergeCell ref="R9:R10"/>
    <mergeCell ref="A26:I28"/>
    <mergeCell ref="B30:K30"/>
    <mergeCell ref="B35:I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05"/>
  <sheetViews>
    <sheetView view="pageBreakPreview" zoomScale="70" zoomScaleNormal="75" zoomScaleSheetLayoutView="70" workbookViewId="0">
      <selection activeCell="G19" sqref="G19"/>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992" t="s">
        <v>408</v>
      </c>
    </row>
    <row r="2" spans="1:15" ht="15.75">
      <c r="A2" s="992" t="s">
        <v>408</v>
      </c>
    </row>
    <row r="3" spans="1:15" ht="15">
      <c r="A3" s="1484" t="str">
        <f>TCOS!$F$5</f>
        <v>AEPTCo subsidiaries in PJM</v>
      </c>
      <c r="B3" s="1484" t="str">
        <f>TCOS!$F$5</f>
        <v>AEPTCo subsidiaries in PJM</v>
      </c>
      <c r="C3" s="1484" t="str">
        <f>TCOS!$F$5</f>
        <v>AEPTCo subsidiaries in PJM</v>
      </c>
      <c r="D3" s="1484" t="str">
        <f>TCOS!$F$5</f>
        <v>AEPTCo subsidiaries in PJM</v>
      </c>
      <c r="E3" s="1484" t="str">
        <f>TCOS!$F$5</f>
        <v>AEPTCo subsidiaries in PJM</v>
      </c>
      <c r="F3" s="1484" t="str">
        <f>TCOS!$F$5</f>
        <v>AEPTCo subsidiaries in PJM</v>
      </c>
      <c r="G3" s="1484" t="str">
        <f>TCOS!$F$5</f>
        <v>AEPTCo subsidiaries in PJM</v>
      </c>
      <c r="H3" s="1484" t="str">
        <f>TCOS!$F$5</f>
        <v>AEPTCo subsidiaries in PJM</v>
      </c>
      <c r="I3" s="1484" t="str">
        <f>TCOS!$F$5</f>
        <v>AEPTCo subsidiaries in PJM</v>
      </c>
      <c r="J3" s="1484" t="str">
        <f>TCOS!$F$5</f>
        <v>AEPTCo subsidiaries in PJM</v>
      </c>
      <c r="K3" s="1484" t="str">
        <f>TCOS!$F$5</f>
        <v>AEPTCo subsidiaries in PJM</v>
      </c>
      <c r="L3" s="1484" t="str">
        <f>TCOS!$F$5</f>
        <v>AEPTCo subsidiaries in PJM</v>
      </c>
      <c r="M3" s="421"/>
      <c r="N3" s="421"/>
      <c r="O3" s="421"/>
    </row>
    <row r="4" spans="1:15" ht="15">
      <c r="A4" s="1512" t="str">
        <f>"Cost of Service Formula Rate Using Actual/Projected FF1 Balances"</f>
        <v>Cost of Service Formula Rate Using Actual/Projected FF1 Balances</v>
      </c>
      <c r="B4" s="1512"/>
      <c r="C4" s="1512"/>
      <c r="D4" s="1512"/>
      <c r="E4" s="1512"/>
      <c r="F4" s="1512"/>
      <c r="G4" s="1512"/>
      <c r="H4" s="1512"/>
      <c r="I4" s="1512"/>
      <c r="J4" s="1512"/>
      <c r="K4" s="1512"/>
      <c r="L4" s="1512"/>
      <c r="M4" s="441"/>
      <c r="N4" s="441"/>
      <c r="O4" s="441"/>
    </row>
    <row r="5" spans="1:15" ht="15">
      <c r="A5" s="1512" t="s">
        <v>283</v>
      </c>
      <c r="B5" s="1512"/>
      <c r="C5" s="1512"/>
      <c r="D5" s="1512"/>
      <c r="E5" s="1512"/>
      <c r="F5" s="1512"/>
      <c r="G5" s="1512"/>
      <c r="H5" s="1512"/>
      <c r="I5" s="1512"/>
      <c r="J5" s="1512"/>
      <c r="K5" s="1512"/>
      <c r="L5" s="1512"/>
      <c r="M5" s="423"/>
      <c r="N5" s="423"/>
      <c r="O5" s="423"/>
    </row>
    <row r="6" spans="1:15" ht="15">
      <c r="A6" s="1513" t="str">
        <f>TCOS!F9</f>
        <v>AEP Ohio Transmission Company</v>
      </c>
      <c r="B6" s="1513"/>
      <c r="C6" s="1513"/>
      <c r="D6" s="1513"/>
      <c r="E6" s="1513"/>
      <c r="F6" s="1513"/>
      <c r="G6" s="1513"/>
      <c r="H6" s="1513"/>
      <c r="I6" s="1513"/>
      <c r="J6" s="1513"/>
      <c r="K6" s="1513"/>
      <c r="L6" s="1513"/>
      <c r="M6" s="168"/>
      <c r="N6" s="168"/>
      <c r="O6" s="168"/>
    </row>
    <row r="7" spans="1:15" ht="15">
      <c r="A7" s="168"/>
      <c r="B7" s="168"/>
      <c r="C7" s="168"/>
      <c r="D7" s="168"/>
      <c r="E7" s="168"/>
      <c r="F7" s="168"/>
      <c r="G7" s="168"/>
      <c r="H7" s="442"/>
      <c r="I7" s="437"/>
      <c r="J7" s="437"/>
      <c r="K7" s="437"/>
      <c r="L7" s="437"/>
      <c r="M7" s="437"/>
      <c r="N7" s="437"/>
      <c r="O7" s="437"/>
    </row>
    <row r="8" spans="1:15" ht="12.75" customHeight="1">
      <c r="A8" s="443"/>
      <c r="B8" s="443" t="s">
        <v>454</v>
      </c>
      <c r="C8" s="443" t="s">
        <v>455</v>
      </c>
      <c r="D8" s="444" t="s">
        <v>323</v>
      </c>
      <c r="E8" s="444" t="s">
        <v>457</v>
      </c>
      <c r="F8" s="443"/>
      <c r="G8" s="443" t="s">
        <v>377</v>
      </c>
      <c r="H8" s="443"/>
      <c r="I8" s="443" t="s">
        <v>378</v>
      </c>
      <c r="J8" s="443" t="s">
        <v>379</v>
      </c>
      <c r="K8" s="443" t="s">
        <v>384</v>
      </c>
      <c r="L8" s="443" t="s">
        <v>288</v>
      </c>
      <c r="M8" s="443"/>
      <c r="N8" s="443"/>
      <c r="O8" s="443"/>
    </row>
    <row r="9" spans="1:15">
      <c r="A9" s="438"/>
    </row>
    <row r="10" spans="1:15" ht="18">
      <c r="A10" s="429"/>
      <c r="B10" s="1511" t="s">
        <v>491</v>
      </c>
      <c r="C10" s="1511"/>
      <c r="D10" s="1511"/>
      <c r="E10" s="1511"/>
      <c r="F10" s="1511"/>
      <c r="G10" s="1511"/>
      <c r="H10" s="1511"/>
      <c r="I10" s="1511"/>
      <c r="J10" s="1511"/>
      <c r="K10" s="1511"/>
      <c r="O10" s="427"/>
    </row>
    <row r="11" spans="1:15">
      <c r="A11" s="429"/>
      <c r="I11" s="155"/>
      <c r="J11" s="155"/>
      <c r="O11" s="427"/>
    </row>
    <row r="12" spans="1:15" ht="12.75" customHeight="1">
      <c r="A12" s="425" t="s">
        <v>461</v>
      </c>
      <c r="B12" s="433"/>
      <c r="C12" s="445"/>
      <c r="D12" s="446"/>
      <c r="E12" s="1515" t="str">
        <f>"Balance @ December 31, "&amp;TCOS!L4&amp;""</f>
        <v>Balance @ December 31, 2023</v>
      </c>
      <c r="F12" s="446"/>
      <c r="G12" s="1515" t="str">
        <f>"Balance @ December 31, "&amp;TCOS!L4-1&amp;""</f>
        <v>Balance @ December 31, 2022</v>
      </c>
      <c r="H12" s="447"/>
      <c r="I12" s="1517" t="str">
        <f>"Average Balance for "&amp;TCOS!L4&amp;""</f>
        <v>Average Balance for 2023</v>
      </c>
      <c r="J12" s="426"/>
      <c r="K12" s="430"/>
      <c r="L12" s="448"/>
      <c r="M12" s="430"/>
      <c r="N12" s="430"/>
      <c r="O12" s="427"/>
    </row>
    <row r="13" spans="1:15">
      <c r="A13" s="425" t="s">
        <v>399</v>
      </c>
      <c r="B13" s="431"/>
      <c r="C13" s="433"/>
      <c r="D13" s="449" t="s">
        <v>490</v>
      </c>
      <c r="E13" s="1516"/>
      <c r="F13" s="450"/>
      <c r="G13" s="1516"/>
      <c r="H13" s="451"/>
      <c r="I13" s="1518"/>
      <c r="J13" s="426"/>
      <c r="K13" s="452"/>
      <c r="L13" s="453"/>
      <c r="M13" s="428"/>
      <c r="N13" s="428"/>
    </row>
    <row r="14" spans="1:15">
      <c r="A14" s="431"/>
      <c r="B14" s="431"/>
      <c r="C14" s="433"/>
      <c r="D14" s="454"/>
      <c r="E14" s="436"/>
      <c r="F14" s="436"/>
      <c r="G14" s="455"/>
      <c r="H14" s="435"/>
      <c r="J14" s="155"/>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316</v>
      </c>
      <c r="D17" s="432" t="s">
        <v>210</v>
      </c>
      <c r="E17" s="1318">
        <v>7</v>
      </c>
      <c r="F17" s="436"/>
      <c r="G17" s="1318">
        <v>60125</v>
      </c>
      <c r="H17" s="457"/>
      <c r="I17" s="434">
        <f>IF(G17="",0,(E17+G17)/2)</f>
        <v>30066</v>
      </c>
      <c r="J17" s="172"/>
      <c r="K17" s="434"/>
      <c r="L17" s="457"/>
      <c r="M17" s="428"/>
      <c r="N17" s="428"/>
    </row>
    <row r="18" spans="1:14">
      <c r="A18" s="431"/>
      <c r="B18" s="431"/>
      <c r="C18" s="456"/>
      <c r="D18" s="172"/>
      <c r="E18" s="172"/>
      <c r="F18" s="172"/>
      <c r="G18" s="172"/>
      <c r="H18" s="172"/>
      <c r="I18" s="347"/>
      <c r="J18" s="172"/>
      <c r="K18" s="172"/>
      <c r="L18" s="457"/>
      <c r="M18" s="428"/>
      <c r="N18" s="428"/>
    </row>
    <row r="19" spans="1:14">
      <c r="A19" s="431">
        <f>+A17+1</f>
        <v>3</v>
      </c>
      <c r="B19" s="431"/>
      <c r="C19" s="456" t="s">
        <v>317</v>
      </c>
      <c r="D19" s="432" t="s">
        <v>211</v>
      </c>
      <c r="E19" s="500">
        <v>0</v>
      </c>
      <c r="F19" s="436"/>
      <c r="G19" s="500">
        <v>40239</v>
      </c>
      <c r="H19" s="435"/>
      <c r="I19" s="434">
        <f>IF(G19="",0,(E19+G19)/2)</f>
        <v>20119.5</v>
      </c>
      <c r="J19" s="155"/>
      <c r="K19" s="452"/>
      <c r="L19" s="453"/>
      <c r="M19" s="428"/>
      <c r="N19" s="428"/>
    </row>
    <row r="20" spans="1:14">
      <c r="A20" s="431"/>
      <c r="B20" s="431"/>
      <c r="C20" s="456"/>
      <c r="D20" s="432"/>
      <c r="E20" s="172"/>
      <c r="F20" s="172"/>
      <c r="G20" s="172"/>
      <c r="H20" s="172"/>
      <c r="I20" s="172"/>
      <c r="J20" s="172"/>
      <c r="K20" s="452"/>
      <c r="L20" s="453"/>
      <c r="M20" s="428"/>
      <c r="N20" s="428"/>
    </row>
    <row r="21" spans="1:14">
      <c r="A21" s="431">
        <f>+A19+1</f>
        <v>4</v>
      </c>
      <c r="B21" s="431"/>
      <c r="C21" s="42" t="s">
        <v>763</v>
      </c>
      <c r="D21" s="432" t="s">
        <v>212</v>
      </c>
      <c r="E21" s="500"/>
      <c r="F21" s="436"/>
      <c r="G21" s="500"/>
      <c r="H21" s="435"/>
      <c r="I21" s="434">
        <f>IF(G21="",0,(E21+G21)/2)</f>
        <v>0</v>
      </c>
      <c r="J21" s="155"/>
      <c r="K21" s="452"/>
      <c r="L21" s="453"/>
      <c r="M21" s="428"/>
      <c r="N21" s="428"/>
    </row>
    <row r="22" spans="1:14">
      <c r="A22" s="431"/>
      <c r="B22" s="431"/>
      <c r="C22" s="433"/>
      <c r="D22" s="454"/>
      <c r="E22" s="436"/>
      <c r="F22" s="436"/>
      <c r="G22" s="427"/>
      <c r="H22" s="435"/>
      <c r="I22" s="427"/>
      <c r="J22" s="155"/>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511" t="s">
        <v>764</v>
      </c>
      <c r="C24" s="1511"/>
      <c r="D24" s="1511"/>
      <c r="E24" s="1511"/>
      <c r="F24" s="1511"/>
      <c r="G24" s="1511"/>
      <c r="H24" s="1511"/>
      <c r="I24" s="1511"/>
      <c r="J24" s="1511"/>
      <c r="K24" s="1511"/>
      <c r="L24" s="453"/>
      <c r="M24" s="428"/>
      <c r="N24" s="428"/>
    </row>
    <row r="25" spans="1:14" ht="12.75" customHeight="1">
      <c r="A25" s="431"/>
      <c r="B25" s="467"/>
      <c r="C25" s="433"/>
      <c r="D25" s="468"/>
      <c r="E25" s="469"/>
      <c r="F25" s="422"/>
      <c r="G25" s="469" t="s">
        <v>380</v>
      </c>
      <c r="I25" s="470" t="s">
        <v>409</v>
      </c>
      <c r="J25" s="470" t="s">
        <v>409</v>
      </c>
      <c r="K25" s="470" t="s">
        <v>471</v>
      </c>
      <c r="L25" s="453"/>
      <c r="M25" s="428"/>
      <c r="N25" s="428"/>
    </row>
    <row r="26" spans="1:14" ht="12.75" customHeight="1">
      <c r="A26" s="431"/>
      <c r="B26" s="467"/>
      <c r="C26" s="433"/>
      <c r="D26" s="471" t="s">
        <v>289</v>
      </c>
      <c r="E26" s="470" t="s">
        <v>319</v>
      </c>
      <c r="F26" s="422"/>
      <c r="G26" s="470" t="s">
        <v>409</v>
      </c>
      <c r="I26" s="470" t="s">
        <v>309</v>
      </c>
      <c r="J26" s="470" t="s">
        <v>453</v>
      </c>
      <c r="K26" s="470" t="s">
        <v>472</v>
      </c>
      <c r="L26" s="453"/>
      <c r="M26" s="428"/>
      <c r="N26" s="428"/>
    </row>
    <row r="27" spans="1:14" ht="12.75" customHeight="1">
      <c r="A27" s="431">
        <f>+A21+1</f>
        <v>5</v>
      </c>
      <c r="B27" s="467"/>
      <c r="C27" s="433"/>
      <c r="D27" s="472" t="s">
        <v>381</v>
      </c>
      <c r="E27" s="472" t="s">
        <v>290</v>
      </c>
      <c r="F27" s="422"/>
      <c r="G27" s="472" t="s">
        <v>310</v>
      </c>
      <c r="I27" s="472" t="s">
        <v>310</v>
      </c>
      <c r="J27" s="472" t="s">
        <v>310</v>
      </c>
      <c r="K27" s="472" t="s">
        <v>311</v>
      </c>
      <c r="L27" s="453"/>
      <c r="M27" s="428"/>
      <c r="N27" s="428"/>
    </row>
    <row r="28" spans="1:14">
      <c r="A28" s="431"/>
      <c r="B28" s="431"/>
      <c r="C28" s="433"/>
      <c r="D28" s="454"/>
      <c r="E28" s="436"/>
      <c r="F28" s="436"/>
      <c r="G28" s="427"/>
      <c r="H28" s="435"/>
      <c r="I28" s="427"/>
      <c r="J28" s="155"/>
      <c r="K28" s="473"/>
      <c r="L28" s="453"/>
      <c r="M28" s="428"/>
      <c r="N28" s="428"/>
    </row>
    <row r="29" spans="1:14">
      <c r="A29" s="431">
        <f>+A27+1</f>
        <v>6</v>
      </c>
      <c r="B29" s="431"/>
      <c r="C29" s="422" t="str">
        <f>"Totals as of December 31, "&amp;TCOS!L4&amp;""</f>
        <v>Totals as of December 31, 2023</v>
      </c>
      <c r="D29" s="474">
        <f>ROUND(D55,0)</f>
        <v>999167</v>
      </c>
      <c r="E29" s="475">
        <f>ROUND(E55,0)</f>
        <v>0</v>
      </c>
      <c r="F29" s="476"/>
      <c r="G29" s="474">
        <f>ROUND(G55,0)</f>
        <v>0</v>
      </c>
      <c r="H29" s="435"/>
      <c r="I29" s="474">
        <f>ROUND(I55,0)</f>
        <v>999167</v>
      </c>
      <c r="J29" s="477">
        <f>+J55</f>
        <v>0</v>
      </c>
      <c r="K29" s="474">
        <f>ROUND(K55,0)</f>
        <v>999167</v>
      </c>
      <c r="L29" s="453"/>
      <c r="M29" s="428"/>
      <c r="N29" s="428"/>
    </row>
    <row r="30" spans="1:14">
      <c r="A30" s="431">
        <f>+A29+1</f>
        <v>7</v>
      </c>
      <c r="B30" s="431"/>
      <c r="C30" s="422" t="str">
        <f>"Totals as of December 31, "&amp;(TCOS!L4-1)&amp;""</f>
        <v>Totals as of December 31, 2022</v>
      </c>
      <c r="D30" s="478">
        <f>ROUND(D79,0)</f>
        <v>939615</v>
      </c>
      <c r="E30" s="479">
        <f>ROUND(E79,0)</f>
        <v>0</v>
      </c>
      <c r="F30" s="436"/>
      <c r="G30" s="478">
        <f>ROUND(G79,0)</f>
        <v>0</v>
      </c>
      <c r="H30" s="435"/>
      <c r="I30" s="478">
        <f>ROUND(I79,0)</f>
        <v>939615</v>
      </c>
      <c r="J30" s="478">
        <f>+J79</f>
        <v>0</v>
      </c>
      <c r="K30" s="478">
        <f>ROUND(K79,0)</f>
        <v>939615</v>
      </c>
      <c r="L30" s="453"/>
      <c r="M30" s="428"/>
      <c r="N30" s="428"/>
    </row>
    <row r="31" spans="1:14" ht="13.5" thickBot="1">
      <c r="A31" s="431">
        <f>+A30+1</f>
        <v>8</v>
      </c>
      <c r="B31" s="431"/>
      <c r="C31" s="480" t="s">
        <v>497</v>
      </c>
      <c r="D31" s="481">
        <f>IF(D30="",0,(D29+D30)/2)</f>
        <v>969391</v>
      </c>
      <c r="E31" s="481">
        <f>IF(E30="",0,(E29+E30)/2)</f>
        <v>0</v>
      </c>
      <c r="F31" s="482"/>
      <c r="G31" s="481">
        <f>IF(G30="",0,(G29+G30)/2)</f>
        <v>0</v>
      </c>
      <c r="H31" s="483"/>
      <c r="I31" s="481">
        <f>IF(I30="",0,(I29+I30)/2)</f>
        <v>969391</v>
      </c>
      <c r="J31" s="481">
        <f>IF(J30="",0,(J29+J30)/2)</f>
        <v>0</v>
      </c>
      <c r="K31" s="481">
        <f>IF(K30="",0,(K29+K30)/2)</f>
        <v>969391</v>
      </c>
      <c r="L31" s="453"/>
      <c r="M31" s="428"/>
      <c r="N31" s="428"/>
    </row>
    <row r="32" spans="1:14" ht="13.5" thickTop="1">
      <c r="A32" s="431"/>
      <c r="B32" s="431"/>
      <c r="D32" s="454"/>
      <c r="E32" s="436"/>
      <c r="F32" s="436"/>
      <c r="G32" s="427"/>
      <c r="H32" s="435"/>
      <c r="I32" s="427"/>
      <c r="J32" s="155"/>
      <c r="K32" s="452"/>
      <c r="L32" s="453"/>
      <c r="M32" s="428"/>
      <c r="N32" s="428"/>
    </row>
    <row r="33" spans="1:14">
      <c r="A33" s="422"/>
      <c r="E33" s="422"/>
      <c r="F33" s="422"/>
      <c r="J33" s="155"/>
      <c r="K33" s="452"/>
      <c r="L33" s="453"/>
      <c r="M33" s="428"/>
      <c r="N33" s="428"/>
    </row>
    <row r="34" spans="1:14" ht="18">
      <c r="A34" s="431"/>
      <c r="B34" s="1514" t="str">
        <f>"Prepayments Account 165 - Balance @ 12/31/"&amp;D36&amp;""</f>
        <v>Prepayments Account 165 - Balance @ 12/31/2023</v>
      </c>
      <c r="C34" s="1519"/>
      <c r="D34" s="1519"/>
      <c r="E34" s="1519"/>
      <c r="F34" s="1519"/>
      <c r="G34" s="1519"/>
      <c r="H34" s="1519"/>
      <c r="I34" s="1519"/>
      <c r="J34" s="1519"/>
      <c r="K34" s="452"/>
      <c r="L34" s="453"/>
      <c r="M34" s="428"/>
      <c r="N34" s="428"/>
    </row>
    <row r="35" spans="1:14">
      <c r="A35" s="431"/>
      <c r="B35" s="484"/>
      <c r="C35" s="485"/>
      <c r="D35" s="468"/>
      <c r="E35" s="469"/>
      <c r="F35" s="422"/>
      <c r="G35" s="469" t="s">
        <v>380</v>
      </c>
      <c r="I35" s="470" t="s">
        <v>409</v>
      </c>
      <c r="J35" s="470" t="s">
        <v>409</v>
      </c>
      <c r="K35" s="470" t="s">
        <v>471</v>
      </c>
      <c r="L35" s="172"/>
      <c r="M35" s="428"/>
      <c r="N35" s="428"/>
    </row>
    <row r="36" spans="1:14">
      <c r="A36" s="431"/>
      <c r="B36" s="484"/>
      <c r="C36" s="486"/>
      <c r="D36" s="471" t="str">
        <f>""&amp;TCOS!L4</f>
        <v>2023</v>
      </c>
      <c r="E36" s="470" t="s">
        <v>319</v>
      </c>
      <c r="F36" s="422"/>
      <c r="G36" s="470" t="s">
        <v>409</v>
      </c>
      <c r="I36" s="470" t="s">
        <v>309</v>
      </c>
      <c r="J36" s="470" t="s">
        <v>453</v>
      </c>
      <c r="K36" s="470" t="s">
        <v>472</v>
      </c>
      <c r="L36" s="172"/>
      <c r="M36" s="428"/>
      <c r="N36" s="428"/>
    </row>
    <row r="37" spans="1:14">
      <c r="A37" s="431">
        <f>+A31+1</f>
        <v>9</v>
      </c>
      <c r="B37" s="472" t="s">
        <v>383</v>
      </c>
      <c r="C37" s="472" t="s">
        <v>459</v>
      </c>
      <c r="D37" s="472" t="s">
        <v>381</v>
      </c>
      <c r="E37" s="472" t="s">
        <v>290</v>
      </c>
      <c r="F37" s="422"/>
      <c r="G37" s="472" t="s">
        <v>310</v>
      </c>
      <c r="I37" s="472" t="s">
        <v>310</v>
      </c>
      <c r="J37" s="472" t="s">
        <v>310</v>
      </c>
      <c r="K37" s="472" t="s">
        <v>311</v>
      </c>
      <c r="L37" s="472" t="s">
        <v>365</v>
      </c>
      <c r="M37" s="428"/>
      <c r="N37" s="428"/>
    </row>
    <row r="38" spans="1:14">
      <c r="A38" s="431"/>
      <c r="B38" s="484"/>
      <c r="C38" s="485"/>
      <c r="D38" s="485"/>
      <c r="E38" s="485"/>
      <c r="F38" s="422"/>
      <c r="G38" s="485"/>
      <c r="I38" s="485"/>
      <c r="J38" s="485"/>
      <c r="K38" s="473"/>
      <c r="L38" s="172"/>
      <c r="M38" s="428"/>
      <c r="N38" s="428"/>
    </row>
    <row r="39" spans="1:14">
      <c r="A39" s="431">
        <f>+A37+1</f>
        <v>10</v>
      </c>
      <c r="B39" s="1326" t="s">
        <v>843</v>
      </c>
      <c r="C39" s="1327" t="s">
        <v>799</v>
      </c>
      <c r="D39" s="500">
        <v>510718.07</v>
      </c>
      <c r="E39" s="1328">
        <f t="shared" ref="E39" si="0">+D39-K39</f>
        <v>0</v>
      </c>
      <c r="F39" s="422"/>
      <c r="G39" s="1329"/>
      <c r="I39" s="1329">
        <f t="shared" ref="I39" si="1">+D39</f>
        <v>510718.07</v>
      </c>
      <c r="J39" s="1329"/>
      <c r="K39" s="1329">
        <f t="shared" ref="K39" si="2">+G39+I39+J39</f>
        <v>510718.07</v>
      </c>
      <c r="L39" s="9" t="s">
        <v>832</v>
      </c>
      <c r="M39" s="428"/>
      <c r="N39" s="428"/>
    </row>
    <row r="40" spans="1:14">
      <c r="A40" s="431">
        <f>+A39+1</f>
        <v>11</v>
      </c>
      <c r="B40" s="1453" t="s">
        <v>1076</v>
      </c>
      <c r="C40" s="1331" t="s">
        <v>800</v>
      </c>
      <c r="D40" s="500">
        <v>40782</v>
      </c>
      <c r="E40" s="1328">
        <f>+D40-K40</f>
        <v>0</v>
      </c>
      <c r="F40" s="422"/>
      <c r="G40" s="1329"/>
      <c r="I40" s="1329">
        <f>+D40</f>
        <v>40782</v>
      </c>
      <c r="J40" s="1329"/>
      <c r="K40" s="1329">
        <f>+G40+I40+J40</f>
        <v>40782</v>
      </c>
      <c r="L40" s="1137" t="s">
        <v>800</v>
      </c>
      <c r="M40" s="428"/>
      <c r="N40" s="428"/>
    </row>
    <row r="41" spans="1:14">
      <c r="A41" s="431">
        <f t="shared" ref="A41:A54" si="3">+A40+1</f>
        <v>12</v>
      </c>
      <c r="B41" s="1330" t="s">
        <v>844</v>
      </c>
      <c r="C41" s="1331" t="s">
        <v>1001</v>
      </c>
      <c r="D41" s="500">
        <v>394671.26</v>
      </c>
      <c r="E41" s="1328">
        <f>+D41-K41</f>
        <v>0</v>
      </c>
      <c r="F41" s="422"/>
      <c r="G41" s="1329"/>
      <c r="I41" s="1329">
        <f>+D41</f>
        <v>394671.26</v>
      </c>
      <c r="J41" s="1329"/>
      <c r="K41" s="1329">
        <f>+G41+I41+J41</f>
        <v>394671.26</v>
      </c>
      <c r="L41" s="9" t="s">
        <v>832</v>
      </c>
      <c r="M41" s="428"/>
      <c r="N41" s="428"/>
    </row>
    <row r="42" spans="1:14">
      <c r="A42" s="431">
        <f t="shared" si="3"/>
        <v>13</v>
      </c>
      <c r="B42" s="1330" t="s">
        <v>845</v>
      </c>
      <c r="C42" s="1331" t="s">
        <v>801</v>
      </c>
      <c r="D42" s="500">
        <v>52995.83</v>
      </c>
      <c r="E42" s="1328">
        <f>+D42-K42</f>
        <v>0</v>
      </c>
      <c r="F42" s="422"/>
      <c r="G42" s="1329"/>
      <c r="I42" s="1329">
        <f>+D42</f>
        <v>52995.83</v>
      </c>
      <c r="J42" s="1329"/>
      <c r="K42" s="1329">
        <f>+G42+I42+J42</f>
        <v>52995.83</v>
      </c>
      <c r="L42" s="1137" t="s">
        <v>801</v>
      </c>
      <c r="M42" s="428"/>
      <c r="N42" s="428"/>
    </row>
    <row r="43" spans="1:14">
      <c r="A43" s="431">
        <f t="shared" si="3"/>
        <v>14</v>
      </c>
      <c r="B43" s="1332"/>
      <c r="C43" s="1331"/>
      <c r="D43" s="500"/>
      <c r="E43" s="1328"/>
      <c r="F43" s="422"/>
      <c r="G43" s="1329"/>
      <c r="I43" s="1329"/>
      <c r="J43" s="1329"/>
      <c r="K43" s="1329"/>
      <c r="L43" s="1137"/>
      <c r="M43" s="428"/>
      <c r="N43" s="428"/>
    </row>
    <row r="44" spans="1:14">
      <c r="A44" s="431">
        <f t="shared" si="3"/>
        <v>15</v>
      </c>
      <c r="B44" s="1332"/>
      <c r="C44" s="1331"/>
      <c r="D44" s="500"/>
      <c r="E44" s="1328"/>
      <c r="F44" s="422"/>
      <c r="G44" s="1329"/>
      <c r="I44" s="1329"/>
      <c r="J44" s="1329"/>
      <c r="K44" s="1329"/>
      <c r="L44" s="1137"/>
      <c r="M44" s="428"/>
      <c r="N44" s="428"/>
    </row>
    <row r="45" spans="1:14">
      <c r="A45" s="431">
        <f t="shared" si="3"/>
        <v>16</v>
      </c>
      <c r="B45" s="1330"/>
      <c r="C45" s="1331"/>
      <c r="D45" s="500"/>
      <c r="E45" s="1328"/>
      <c r="F45" s="422"/>
      <c r="G45" s="1329"/>
      <c r="I45" s="1329"/>
      <c r="J45" s="1329"/>
      <c r="K45" s="1329"/>
      <c r="L45" s="9"/>
      <c r="M45" s="428"/>
      <c r="N45" s="428"/>
    </row>
    <row r="46" spans="1:14">
      <c r="A46" s="431">
        <f t="shared" si="3"/>
        <v>17</v>
      </c>
      <c r="B46" s="1453"/>
      <c r="C46" s="1331"/>
      <c r="D46" s="500"/>
      <c r="E46" s="1328"/>
      <c r="F46" s="422"/>
      <c r="G46" s="1329"/>
      <c r="I46" s="1329"/>
      <c r="J46" s="1329"/>
      <c r="K46" s="1329"/>
      <c r="L46" s="1137"/>
      <c r="M46" s="428"/>
      <c r="N46" s="428"/>
    </row>
    <row r="47" spans="1:14">
      <c r="A47" s="431">
        <f t="shared" si="3"/>
        <v>18</v>
      </c>
      <c r="B47" s="1330"/>
      <c r="C47" s="1331"/>
      <c r="D47" s="500"/>
      <c r="E47" s="1328"/>
      <c r="F47" s="422"/>
      <c r="G47" s="1329"/>
      <c r="I47" s="1329"/>
      <c r="J47" s="1329"/>
      <c r="K47" s="1329"/>
      <c r="L47" s="9"/>
      <c r="M47" s="428"/>
      <c r="N47" s="428"/>
    </row>
    <row r="48" spans="1:14">
      <c r="A48" s="431">
        <f t="shared" si="3"/>
        <v>19</v>
      </c>
      <c r="B48" s="1330"/>
      <c r="C48" s="1331"/>
      <c r="D48" s="500"/>
      <c r="E48" s="1328"/>
      <c r="F48" s="422"/>
      <c r="G48" s="1329"/>
      <c r="I48" s="1329"/>
      <c r="J48" s="1329"/>
      <c r="K48" s="1329"/>
      <c r="L48" s="1137"/>
      <c r="M48" s="428"/>
      <c r="N48" s="428"/>
    </row>
    <row r="49" spans="1:15">
      <c r="A49" s="431">
        <f t="shared" si="3"/>
        <v>20</v>
      </c>
      <c r="B49" s="1330"/>
      <c r="C49" s="1331"/>
      <c r="D49" s="500"/>
      <c r="E49" s="1328"/>
      <c r="F49" s="422"/>
      <c r="G49" s="1329"/>
      <c r="I49" s="1329"/>
      <c r="J49" s="1329"/>
      <c r="K49" s="1175"/>
      <c r="L49" s="392"/>
      <c r="M49" s="428"/>
      <c r="N49" s="428"/>
    </row>
    <row r="50" spans="1:15">
      <c r="A50" s="431">
        <f t="shared" si="3"/>
        <v>21</v>
      </c>
      <c r="B50" s="1330"/>
      <c r="C50" s="1331"/>
      <c r="D50" s="500"/>
      <c r="E50" s="1328"/>
      <c r="F50" s="422"/>
      <c r="G50" s="1329"/>
      <c r="I50" s="1329"/>
      <c r="J50" s="1329"/>
      <c r="K50" s="1175"/>
      <c r="L50" s="392"/>
      <c r="M50" s="428"/>
      <c r="N50" s="428"/>
    </row>
    <row r="51" spans="1:15">
      <c r="A51" s="431">
        <f t="shared" si="3"/>
        <v>22</v>
      </c>
      <c r="B51" s="1330"/>
      <c r="C51" s="1331"/>
      <c r="D51" s="500"/>
      <c r="E51" s="1328"/>
      <c r="F51" s="422"/>
      <c r="G51" s="1329"/>
      <c r="I51" s="1329"/>
      <c r="J51" s="1175"/>
      <c r="K51" s="1175"/>
      <c r="L51" s="172"/>
      <c r="M51" s="428"/>
      <c r="N51" s="428"/>
    </row>
    <row r="52" spans="1:15" ht="14.25">
      <c r="A52" s="431">
        <f t="shared" si="3"/>
        <v>23</v>
      </c>
      <c r="B52" s="1333"/>
      <c r="C52" s="1334"/>
      <c r="D52" s="1335"/>
      <c r="E52" s="1328"/>
      <c r="F52" s="422"/>
      <c r="G52" s="1329"/>
      <c r="I52" s="1329"/>
      <c r="J52" s="1175"/>
      <c r="K52" s="1175"/>
      <c r="L52" s="392"/>
      <c r="M52" s="428"/>
      <c r="N52" s="428"/>
    </row>
    <row r="53" spans="1:15" ht="14.25">
      <c r="A53" s="431">
        <f t="shared" si="3"/>
        <v>24</v>
      </c>
      <c r="B53" s="958"/>
      <c r="C53" s="959"/>
      <c r="D53" s="984"/>
      <c r="E53" s="487"/>
      <c r="F53" s="422"/>
      <c r="G53" s="488"/>
      <c r="I53" s="488"/>
      <c r="J53" s="490"/>
      <c r="K53" s="489"/>
      <c r="L53" s="392"/>
      <c r="M53" s="428"/>
      <c r="N53" s="428"/>
    </row>
    <row r="54" spans="1:15" ht="15" thickBot="1">
      <c r="A54" s="431">
        <f t="shared" si="3"/>
        <v>25</v>
      </c>
      <c r="B54" s="958"/>
      <c r="C54" s="959"/>
      <c r="D54" s="984"/>
      <c r="E54" s="487"/>
      <c r="F54" s="422"/>
      <c r="G54" s="488"/>
      <c r="I54" s="488"/>
      <c r="J54" s="488"/>
      <c r="K54" s="489"/>
      <c r="L54" s="392"/>
      <c r="M54" s="428"/>
      <c r="N54" s="428"/>
    </row>
    <row r="55" spans="1:15">
      <c r="A55" s="431"/>
      <c r="B55" s="484"/>
      <c r="C55" s="491" t="s">
        <v>291</v>
      </c>
      <c r="D55" s="492">
        <f>SUM(D39:D54)</f>
        <v>999167.16</v>
      </c>
      <c r="E55" s="493">
        <f>SUM(E39:E54)</f>
        <v>0</v>
      </c>
      <c r="F55" s="422"/>
      <c r="G55" s="492">
        <f>SUM(G39:G54)</f>
        <v>0</v>
      </c>
      <c r="I55" s="492">
        <f>SUM(I39:I54)</f>
        <v>999167.16</v>
      </c>
      <c r="J55" s="492">
        <f>SUM(J39:J54)</f>
        <v>0</v>
      </c>
      <c r="K55" s="492">
        <f>SUM(K39:K54)</f>
        <v>999167.16</v>
      </c>
      <c r="L55" s="172"/>
      <c r="M55" s="428"/>
      <c r="N55" s="428"/>
    </row>
    <row r="56" spans="1:15">
      <c r="A56" s="431"/>
      <c r="D56" s="494" t="s">
        <v>408</v>
      </c>
      <c r="K56" s="495"/>
      <c r="L56" s="172"/>
      <c r="M56" s="428"/>
      <c r="N56" s="428"/>
    </row>
    <row r="57" spans="1:15">
      <c r="A57" s="431"/>
      <c r="B57" s="172"/>
      <c r="C57" s="172"/>
      <c r="D57" s="172"/>
      <c r="E57" s="172"/>
      <c r="F57" s="172"/>
      <c r="G57" s="172"/>
      <c r="H57" s="172"/>
      <c r="I57" s="172"/>
      <c r="J57" s="172"/>
      <c r="K57" s="172"/>
      <c r="L57" s="172"/>
      <c r="M57" s="428"/>
      <c r="N57" s="428"/>
      <c r="O57" s="172"/>
    </row>
    <row r="58" spans="1:15" ht="18">
      <c r="A58" s="431"/>
      <c r="B58" s="1514" t="str">
        <f>"Prepayments Account 165 - Balance @ 12/31/ "&amp;D60&amp;""</f>
        <v>Prepayments Account 165 - Balance @ 12/31/ 2022</v>
      </c>
      <c r="C58" s="1514"/>
      <c r="D58" s="1514"/>
      <c r="E58" s="1514"/>
      <c r="F58" s="1514"/>
      <c r="G58" s="1514"/>
      <c r="H58" s="1514"/>
      <c r="I58" s="1514"/>
      <c r="J58" s="1514"/>
      <c r="K58" s="452"/>
      <c r="L58" s="453"/>
      <c r="M58" s="428"/>
      <c r="N58" s="428"/>
      <c r="O58" s="172"/>
    </row>
    <row r="59" spans="1:15">
      <c r="A59" s="431"/>
      <c r="B59" s="496"/>
      <c r="C59" s="497"/>
      <c r="D59" s="498"/>
      <c r="E59" s="469"/>
      <c r="F59" s="422"/>
      <c r="G59" s="469" t="s">
        <v>380</v>
      </c>
      <c r="I59" s="470" t="s">
        <v>409</v>
      </c>
      <c r="J59" s="470" t="s">
        <v>409</v>
      </c>
      <c r="K59" s="470" t="s">
        <v>471</v>
      </c>
      <c r="L59" s="172"/>
      <c r="M59" s="428"/>
      <c r="N59" s="428"/>
      <c r="O59" s="172"/>
    </row>
    <row r="60" spans="1:15">
      <c r="A60" s="431"/>
      <c r="B60" s="496"/>
      <c r="C60" s="499"/>
      <c r="D60" s="470" t="str">
        <f>""&amp;TCOS!L4-1&amp;""</f>
        <v>2022</v>
      </c>
      <c r="E60" s="470" t="s">
        <v>319</v>
      </c>
      <c r="F60" s="422"/>
      <c r="G60" s="470" t="s">
        <v>409</v>
      </c>
      <c r="I60" s="470" t="s">
        <v>309</v>
      </c>
      <c r="J60" s="470" t="s">
        <v>453</v>
      </c>
      <c r="K60" s="470" t="s">
        <v>472</v>
      </c>
      <c r="L60" s="172"/>
      <c r="M60" s="428"/>
      <c r="N60" s="428"/>
      <c r="O60" s="172"/>
    </row>
    <row r="61" spans="1:15">
      <c r="A61" s="431">
        <f>A54+1</f>
        <v>26</v>
      </c>
      <c r="B61" s="472" t="s">
        <v>383</v>
      </c>
      <c r="C61" s="472" t="s">
        <v>459</v>
      </c>
      <c r="D61" s="472" t="s">
        <v>381</v>
      </c>
      <c r="E61" s="472" t="s">
        <v>290</v>
      </c>
      <c r="F61" s="422"/>
      <c r="G61" s="472" t="s">
        <v>310</v>
      </c>
      <c r="I61" s="472" t="s">
        <v>310</v>
      </c>
      <c r="J61" s="472" t="s">
        <v>310</v>
      </c>
      <c r="K61" s="472" t="s">
        <v>311</v>
      </c>
      <c r="L61" s="472" t="s">
        <v>365</v>
      </c>
      <c r="M61" s="428"/>
      <c r="N61" s="428"/>
      <c r="O61" s="172"/>
    </row>
    <row r="62" spans="1:15">
      <c r="A62" s="431"/>
      <c r="B62" s="484"/>
      <c r="C62" s="485"/>
      <c r="D62" s="485"/>
      <c r="E62" s="485"/>
      <c r="F62" s="422"/>
      <c r="G62" s="485"/>
      <c r="I62" s="485"/>
      <c r="J62" s="485"/>
      <c r="K62" s="485"/>
      <c r="L62" s="172"/>
      <c r="M62" s="428"/>
      <c r="N62" s="428"/>
      <c r="O62" s="172"/>
    </row>
    <row r="63" spans="1:15">
      <c r="A63" s="431">
        <f>+A61+1</f>
        <v>27</v>
      </c>
      <c r="B63" s="1326" t="s">
        <v>843</v>
      </c>
      <c r="C63" s="1327" t="s">
        <v>799</v>
      </c>
      <c r="D63" s="500">
        <v>489092.84</v>
      </c>
      <c r="E63" s="1328">
        <f t="shared" ref="E63" si="4">+D63-K63</f>
        <v>0</v>
      </c>
      <c r="F63" s="422"/>
      <c r="G63" s="1329"/>
      <c r="I63" s="1329">
        <f t="shared" ref="I63" si="5">+D63</f>
        <v>489092.84</v>
      </c>
      <c r="J63" s="1329"/>
      <c r="K63" s="1329">
        <f t="shared" ref="K63" si="6">+G63+I63+J63</f>
        <v>489092.84</v>
      </c>
      <c r="L63" s="9" t="s">
        <v>832</v>
      </c>
      <c r="M63" s="428"/>
      <c r="N63" s="428"/>
      <c r="O63" s="172"/>
    </row>
    <row r="64" spans="1:15">
      <c r="A64" s="431">
        <f>+A63+1</f>
        <v>28</v>
      </c>
      <c r="B64" s="1453" t="s">
        <v>1070</v>
      </c>
      <c r="C64" s="1331" t="s">
        <v>800</v>
      </c>
      <c r="D64" s="500">
        <v>39163</v>
      </c>
      <c r="E64" s="1328">
        <f>+D64-K64</f>
        <v>0</v>
      </c>
      <c r="F64" s="422"/>
      <c r="G64" s="1329"/>
      <c r="I64" s="1329">
        <f>+D64</f>
        <v>39163</v>
      </c>
      <c r="J64" s="1329"/>
      <c r="K64" s="1329">
        <f>+G64+I64+J64</f>
        <v>39163</v>
      </c>
      <c r="L64" s="1137" t="s">
        <v>800</v>
      </c>
      <c r="M64" s="428"/>
      <c r="N64" s="428"/>
      <c r="O64" s="172"/>
    </row>
    <row r="65" spans="1:15">
      <c r="A65" s="431">
        <f t="shared" ref="A65:A78" si="7">+A64+1</f>
        <v>29</v>
      </c>
      <c r="B65" s="1330" t="s">
        <v>844</v>
      </c>
      <c r="C65" s="1331" t="s">
        <v>1001</v>
      </c>
      <c r="D65" s="500">
        <v>369202.26</v>
      </c>
      <c r="E65" s="1328">
        <f>+D65-K65</f>
        <v>0</v>
      </c>
      <c r="F65" s="422"/>
      <c r="G65" s="1329"/>
      <c r="I65" s="1329">
        <f>+D65</f>
        <v>369202.26</v>
      </c>
      <c r="J65" s="1329"/>
      <c r="K65" s="1329">
        <f>+G65+I65+J65</f>
        <v>369202.26</v>
      </c>
      <c r="L65" s="9" t="s">
        <v>832</v>
      </c>
      <c r="M65" s="428"/>
      <c r="N65" s="428"/>
      <c r="O65" s="172"/>
    </row>
    <row r="66" spans="1:15">
      <c r="A66" s="431">
        <f t="shared" si="7"/>
        <v>30</v>
      </c>
      <c r="B66" s="1330" t="s">
        <v>845</v>
      </c>
      <c r="C66" s="1331" t="s">
        <v>801</v>
      </c>
      <c r="D66" s="500">
        <v>42156.91</v>
      </c>
      <c r="E66" s="1328">
        <f>+D66-K66</f>
        <v>0</v>
      </c>
      <c r="F66" s="422"/>
      <c r="G66" s="1329"/>
      <c r="I66" s="1329">
        <f>+D66</f>
        <v>42156.91</v>
      </c>
      <c r="J66" s="1329"/>
      <c r="K66" s="1329">
        <f>+G66+I66+J66</f>
        <v>42156.91</v>
      </c>
      <c r="L66" s="1137" t="s">
        <v>801</v>
      </c>
      <c r="M66" s="428"/>
      <c r="N66" s="428"/>
      <c r="O66" s="172"/>
    </row>
    <row r="67" spans="1:15">
      <c r="A67" s="431">
        <f t="shared" si="7"/>
        <v>31</v>
      </c>
      <c r="B67" s="1332"/>
      <c r="C67" s="1331"/>
      <c r="D67" s="500"/>
      <c r="E67" s="1328"/>
      <c r="F67" s="422"/>
      <c r="G67" s="1329"/>
      <c r="I67" s="1329"/>
      <c r="J67" s="1329"/>
      <c r="K67" s="1329"/>
      <c r="L67" s="1137"/>
      <c r="M67" s="428"/>
      <c r="N67" s="428"/>
      <c r="O67" s="172"/>
    </row>
    <row r="68" spans="1:15">
      <c r="A68" s="431">
        <f t="shared" si="7"/>
        <v>32</v>
      </c>
      <c r="B68" s="1332"/>
      <c r="C68" s="1331"/>
      <c r="D68" s="500"/>
      <c r="E68" s="1328"/>
      <c r="F68" s="422"/>
      <c r="G68" s="1329"/>
      <c r="I68" s="1329"/>
      <c r="J68" s="1329"/>
      <c r="K68" s="1329"/>
      <c r="L68" s="1137"/>
      <c r="M68" s="428"/>
      <c r="N68" s="428"/>
      <c r="O68" s="172"/>
    </row>
    <row r="69" spans="1:15">
      <c r="A69" s="431">
        <f t="shared" si="7"/>
        <v>33</v>
      </c>
      <c r="B69" s="1330"/>
      <c r="C69" s="1331"/>
      <c r="D69" s="500"/>
      <c r="E69" s="1328"/>
      <c r="F69" s="422"/>
      <c r="G69" s="1329"/>
      <c r="I69" s="1329"/>
      <c r="J69" s="1329"/>
      <c r="K69" s="1329"/>
      <c r="L69" s="9"/>
      <c r="M69" s="428"/>
      <c r="N69" s="428"/>
      <c r="O69" s="172"/>
    </row>
    <row r="70" spans="1:15">
      <c r="A70" s="431">
        <f t="shared" si="7"/>
        <v>34</v>
      </c>
      <c r="B70" s="1453"/>
      <c r="C70" s="1331"/>
      <c r="D70" s="500"/>
      <c r="E70" s="1328"/>
      <c r="F70" s="422"/>
      <c r="G70" s="1329"/>
      <c r="I70" s="1329"/>
      <c r="J70" s="1329"/>
      <c r="K70" s="1329"/>
      <c r="L70" s="1137"/>
      <c r="M70" s="428"/>
      <c r="N70" s="428"/>
      <c r="O70" s="172"/>
    </row>
    <row r="71" spans="1:15">
      <c r="A71" s="431">
        <f t="shared" si="7"/>
        <v>35</v>
      </c>
      <c r="B71" s="1330"/>
      <c r="C71" s="1331"/>
      <c r="D71" s="500"/>
      <c r="E71" s="1328"/>
      <c r="F71" s="422"/>
      <c r="G71" s="1329"/>
      <c r="I71" s="1329"/>
      <c r="J71" s="1329"/>
      <c r="K71" s="1329"/>
      <c r="L71" s="9"/>
      <c r="M71" s="428"/>
      <c r="N71" s="428"/>
      <c r="O71" s="172"/>
    </row>
    <row r="72" spans="1:15">
      <c r="A72" s="431">
        <f>+A69+1</f>
        <v>34</v>
      </c>
      <c r="B72" s="1330"/>
      <c r="C72" s="1331"/>
      <c r="D72" s="500"/>
      <c r="E72" s="1328"/>
      <c r="F72" s="422"/>
      <c r="G72" s="1329"/>
      <c r="I72" s="1329"/>
      <c r="J72" s="1329"/>
      <c r="K72" s="1329"/>
      <c r="L72" s="1137"/>
      <c r="M72" s="428"/>
      <c r="N72" s="428"/>
      <c r="O72" s="172"/>
    </row>
    <row r="73" spans="1:15">
      <c r="A73" s="431">
        <f t="shared" si="7"/>
        <v>35</v>
      </c>
      <c r="B73" s="1330"/>
      <c r="C73" s="1331"/>
      <c r="D73" s="500"/>
      <c r="E73" s="1328"/>
      <c r="F73" s="422"/>
      <c r="G73" s="1329"/>
      <c r="I73" s="1329"/>
      <c r="J73" s="1329"/>
      <c r="K73" s="1175"/>
      <c r="L73" s="392"/>
      <c r="M73" s="428"/>
      <c r="N73" s="428"/>
      <c r="O73" s="172"/>
    </row>
    <row r="74" spans="1:15">
      <c r="A74" s="431">
        <f t="shared" si="7"/>
        <v>36</v>
      </c>
      <c r="B74" s="1330"/>
      <c r="C74" s="1331"/>
      <c r="D74" s="500"/>
      <c r="E74" s="1328"/>
      <c r="F74" s="422"/>
      <c r="G74" s="1329"/>
      <c r="I74" s="1329"/>
      <c r="J74" s="1329"/>
      <c r="K74" s="1175"/>
      <c r="L74" s="392"/>
      <c r="M74" s="428"/>
      <c r="N74" s="428"/>
      <c r="O74" s="172"/>
    </row>
    <row r="75" spans="1:15">
      <c r="A75" s="431">
        <f t="shared" si="7"/>
        <v>37</v>
      </c>
      <c r="B75" s="1330"/>
      <c r="C75" s="1331"/>
      <c r="D75" s="500"/>
      <c r="E75" s="1328"/>
      <c r="F75" s="422"/>
      <c r="G75" s="1329"/>
      <c r="I75" s="1329"/>
      <c r="J75" s="1175"/>
      <c r="K75" s="1175"/>
      <c r="L75" s="172"/>
      <c r="M75" s="428"/>
      <c r="N75" s="428"/>
      <c r="O75" s="172"/>
    </row>
    <row r="76" spans="1:15" ht="14.25">
      <c r="A76" s="431">
        <f t="shared" si="7"/>
        <v>38</v>
      </c>
      <c r="B76" s="1333"/>
      <c r="C76" s="1334"/>
      <c r="D76" s="1335"/>
      <c r="E76" s="1328"/>
      <c r="F76" s="422"/>
      <c r="G76" s="1329"/>
      <c r="I76" s="1329"/>
      <c r="J76" s="1175"/>
      <c r="K76" s="1175"/>
      <c r="L76" s="392"/>
      <c r="M76" s="428"/>
      <c r="N76" s="428"/>
      <c r="O76" s="172"/>
    </row>
    <row r="77" spans="1:15" ht="14.25">
      <c r="A77" s="431">
        <f t="shared" si="7"/>
        <v>39</v>
      </c>
      <c r="B77" s="958"/>
      <c r="C77" s="959"/>
      <c r="D77" s="984"/>
      <c r="E77" s="487"/>
      <c r="F77" s="422"/>
      <c r="G77" s="488"/>
      <c r="I77" s="488"/>
      <c r="J77" s="490"/>
      <c r="K77" s="489"/>
      <c r="L77" s="392"/>
      <c r="M77" s="428"/>
      <c r="N77" s="428"/>
      <c r="O77" s="172"/>
    </row>
    <row r="78" spans="1:15" ht="15" thickBot="1">
      <c r="A78" s="431">
        <f t="shared" si="7"/>
        <v>40</v>
      </c>
      <c r="B78" s="958"/>
      <c r="C78" s="959"/>
      <c r="D78" s="984"/>
      <c r="E78" s="487"/>
      <c r="F78" s="422"/>
      <c r="G78" s="488"/>
      <c r="I78" s="488"/>
      <c r="J78" s="488"/>
      <c r="K78" s="489"/>
      <c r="L78" s="392"/>
      <c r="M78" s="428"/>
      <c r="N78" s="428"/>
      <c r="O78" s="172"/>
    </row>
    <row r="79" spans="1:15">
      <c r="A79" s="431"/>
      <c r="B79" s="484"/>
      <c r="C79" s="1228" t="s">
        <v>620</v>
      </c>
      <c r="D79" s="492">
        <f>SUM(D63:D78)</f>
        <v>939615.01000000013</v>
      </c>
      <c r="E79" s="493">
        <f>SUM(E63:E78)</f>
        <v>0</v>
      </c>
      <c r="F79" s="422"/>
      <c r="G79" s="492">
        <f>SUM(G63:G78)</f>
        <v>0</v>
      </c>
      <c r="I79" s="492">
        <f>SUM(I63:I78)</f>
        <v>939615.01000000013</v>
      </c>
      <c r="J79" s="492">
        <f>SUM(J63:J78)</f>
        <v>0</v>
      </c>
      <c r="K79" s="492">
        <f>SUM(K63:K78)</f>
        <v>939615.01000000013</v>
      </c>
      <c r="L79" s="172"/>
      <c r="M79" s="428"/>
      <c r="N79" s="428"/>
      <c r="O79" s="172"/>
    </row>
    <row r="80" spans="1:15">
      <c r="A80" s="431"/>
      <c r="B80" s="431"/>
      <c r="C80" s="172"/>
      <c r="D80" s="172"/>
      <c r="E80" s="172"/>
      <c r="F80" s="172"/>
      <c r="G80" s="172"/>
      <c r="H80" s="172"/>
      <c r="I80" s="172"/>
      <c r="J80" s="172"/>
      <c r="K80" s="172"/>
      <c r="L80" s="172"/>
      <c r="M80" s="428"/>
      <c r="N80" s="428"/>
      <c r="O80" s="172"/>
    </row>
    <row r="81" spans="1:15" ht="20.25" customHeight="1">
      <c r="A81" s="1108" t="s">
        <v>687</v>
      </c>
      <c r="B81" s="1510" t="s">
        <v>773</v>
      </c>
      <c r="C81" s="1510"/>
      <c r="D81" s="1510"/>
      <c r="E81" s="1510"/>
      <c r="F81" s="1510"/>
      <c r="G81" s="1510"/>
      <c r="H81" s="1510"/>
      <c r="I81" s="1510"/>
      <c r="J81" s="1510"/>
      <c r="K81" s="1510"/>
      <c r="L81" s="1510"/>
      <c r="M81" s="428"/>
      <c r="N81" s="428"/>
      <c r="O81" s="172"/>
    </row>
    <row r="82" spans="1:15" ht="20.25" customHeight="1">
      <c r="A82" s="1229"/>
      <c r="B82" s="1510"/>
      <c r="C82" s="1510"/>
      <c r="D82" s="1510"/>
      <c r="E82" s="1510"/>
      <c r="F82" s="1510"/>
      <c r="G82" s="1510"/>
      <c r="H82" s="1510"/>
      <c r="I82" s="1510"/>
      <c r="J82" s="1510"/>
      <c r="K82" s="1510"/>
      <c r="L82" s="1510"/>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5"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O38"/>
  <sheetViews>
    <sheetView workbookViewId="0">
      <selection activeCell="A3" sqref="A3:E3"/>
    </sheetView>
  </sheetViews>
  <sheetFormatPr defaultColWidth="8.85546875" defaultRowHeight="12.75"/>
  <cols>
    <col min="1" max="1" width="9.140625" style="272"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992" t="s">
        <v>408</v>
      </c>
    </row>
    <row r="2" spans="1:15" ht="15.75">
      <c r="A2" s="992" t="s">
        <v>408</v>
      </c>
    </row>
    <row r="3" spans="1:15" ht="15">
      <c r="A3" s="1484" t="str">
        <f>TCOS!$F$5</f>
        <v>AEPTCo subsidiaries in PJM</v>
      </c>
      <c r="B3" s="1484" t="str">
        <f>TCOS!$F$5</f>
        <v>AEPTCo subsidiaries in PJM</v>
      </c>
      <c r="C3" s="1484" t="str">
        <f>TCOS!$F$5</f>
        <v>AEPTCo subsidiaries in PJM</v>
      </c>
      <c r="D3" s="1484" t="str">
        <f>TCOS!$F$5</f>
        <v>AEPTCo subsidiaries in PJM</v>
      </c>
      <c r="E3" s="1484" t="str">
        <f>TCOS!$F$5</f>
        <v>AEPTCo subsidiaries in PJM</v>
      </c>
      <c r="F3" s="421"/>
      <c r="G3" s="421"/>
      <c r="H3" s="421"/>
      <c r="I3" s="421"/>
      <c r="J3" s="421"/>
      <c r="K3" s="421"/>
      <c r="L3" s="421"/>
      <c r="M3" s="421"/>
      <c r="N3" s="421"/>
      <c r="O3" s="421"/>
    </row>
    <row r="4" spans="1:15" ht="15">
      <c r="A4" s="1512" t="str">
        <f>"Cost of Service Formula Rate Using Actual/Projected FF1 Balances"</f>
        <v>Cost of Service Formula Rate Using Actual/Projected FF1 Balances</v>
      </c>
      <c r="B4" s="1512"/>
      <c r="C4" s="1512"/>
      <c r="D4" s="1512"/>
      <c r="E4" s="1512"/>
      <c r="F4" s="423"/>
      <c r="G4" s="423"/>
      <c r="H4" s="423"/>
      <c r="I4" s="423"/>
      <c r="J4" s="423"/>
      <c r="K4" s="423"/>
      <c r="L4" s="423"/>
      <c r="M4" s="441"/>
      <c r="N4" s="441"/>
      <c r="O4" s="441"/>
    </row>
    <row r="5" spans="1:15" ht="15">
      <c r="A5" s="1512" t="s">
        <v>545</v>
      </c>
      <c r="B5" s="1512"/>
      <c r="C5" s="1512"/>
      <c r="D5" s="1512"/>
      <c r="E5" s="1512"/>
      <c r="F5" s="423"/>
      <c r="G5" s="423"/>
      <c r="H5" s="423"/>
      <c r="I5" s="423"/>
      <c r="J5" s="423"/>
      <c r="K5" s="423"/>
      <c r="L5" s="423"/>
      <c r="M5" s="423"/>
      <c r="N5" s="423"/>
      <c r="O5" s="423"/>
    </row>
    <row r="6" spans="1:15" ht="15">
      <c r="A6" s="1513" t="str">
        <f>TCOS!F9</f>
        <v>AEP Ohio Transmission Company</v>
      </c>
      <c r="B6" s="1513"/>
      <c r="C6" s="1513"/>
      <c r="D6" s="1513"/>
      <c r="E6" s="1513"/>
      <c r="F6" s="168"/>
      <c r="G6" s="168"/>
      <c r="H6" s="168"/>
      <c r="I6" s="168"/>
      <c r="J6" s="168"/>
      <c r="K6" s="168"/>
      <c r="L6" s="168"/>
      <c r="M6" s="168"/>
      <c r="N6" s="168"/>
      <c r="O6" s="168"/>
    </row>
    <row r="8" spans="1:15">
      <c r="A8" s="501" t="s">
        <v>461</v>
      </c>
      <c r="B8" s="502" t="s">
        <v>454</v>
      </c>
      <c r="C8" s="502" t="s">
        <v>455</v>
      </c>
    </row>
    <row r="9" spans="1:15">
      <c r="A9" s="501" t="s">
        <v>399</v>
      </c>
      <c r="B9" s="501" t="s">
        <v>459</v>
      </c>
      <c r="C9" s="501">
        <f>+TCOS!L4</f>
        <v>2023</v>
      </c>
    </row>
    <row r="10" spans="1:15">
      <c r="A10" s="503"/>
      <c r="B10" s="504"/>
      <c r="C10" s="502"/>
    </row>
    <row r="11" spans="1:15">
      <c r="A11" s="272">
        <v>1</v>
      </c>
      <c r="B11" s="1230" t="str">
        <f>"Net Funds from IPP Customers 12/31/"&amp;TCOS!L4-1&amp;" ("&amp;TCOS!L4&amp;" FORM 1, P269)"</f>
        <v>Net Funds from IPP Customers 12/31/2022 (2023 FORM 1, P269)</v>
      </c>
      <c r="C11" s="517">
        <v>0</v>
      </c>
      <c r="D11" s="392"/>
    </row>
    <row r="12" spans="1:15">
      <c r="B12" s="347"/>
      <c r="D12" s="392"/>
    </row>
    <row r="13" spans="1:15">
      <c r="A13" s="505">
        <v>2</v>
      </c>
      <c r="B13" s="1230" t="s">
        <v>251</v>
      </c>
      <c r="C13" s="517">
        <v>0</v>
      </c>
      <c r="D13" s="392"/>
    </row>
    <row r="14" spans="1:15">
      <c r="A14" s="505"/>
      <c r="B14" s="1230"/>
      <c r="D14" s="392"/>
    </row>
    <row r="15" spans="1:15">
      <c r="A15" s="505">
        <f>+A13+1</f>
        <v>3</v>
      </c>
      <c r="B15" s="1230" t="s">
        <v>329</v>
      </c>
      <c r="C15" s="517">
        <v>0</v>
      </c>
      <c r="D15" s="392"/>
    </row>
    <row r="16" spans="1:15">
      <c r="A16" s="505"/>
      <c r="B16" s="1230"/>
      <c r="D16" s="392"/>
    </row>
    <row r="17" spans="1:4">
      <c r="A17" s="505">
        <f>+A15+1</f>
        <v>4</v>
      </c>
      <c r="B17" s="1231" t="s">
        <v>0</v>
      </c>
      <c r="D17" s="392"/>
    </row>
    <row r="18" spans="1:4">
      <c r="A18" s="506">
        <f>+A17+1</f>
        <v>5</v>
      </c>
      <c r="B18" s="1230" t="s">
        <v>330</v>
      </c>
      <c r="C18" s="517">
        <v>0</v>
      </c>
      <c r="D18" s="392"/>
    </row>
    <row r="19" spans="1:4">
      <c r="A19" s="506">
        <f>+A18+1</f>
        <v>6</v>
      </c>
      <c r="B19" s="1232" t="s">
        <v>408</v>
      </c>
      <c r="C19" s="517">
        <v>0</v>
      </c>
      <c r="D19" s="392"/>
    </row>
    <row r="20" spans="1:4">
      <c r="A20" s="506"/>
      <c r="B20" s="347"/>
      <c r="C20" s="509"/>
      <c r="D20" s="392"/>
    </row>
    <row r="21" spans="1:4">
      <c r="A21" s="506">
        <f>+A19+1</f>
        <v>7</v>
      </c>
      <c r="B21" s="1230" t="str">
        <f>"Net Funds from IPP Customers 12/31/"&amp;TCOS!L4&amp;" ("&amp;TCOS!L4&amp;" FORM 1, P269)"</f>
        <v>Net Funds from IPP Customers 12/31/2023 (2023 FORM 1, P269)</v>
      </c>
      <c r="C21" s="510">
        <f>+C11+C13+C15+C18+C19</f>
        <v>0</v>
      </c>
      <c r="D21" s="511"/>
    </row>
    <row r="22" spans="1:4">
      <c r="A22" s="506"/>
      <c r="B22" s="508"/>
      <c r="D22" s="392"/>
    </row>
    <row r="23" spans="1:4">
      <c r="A23" s="506">
        <f>+A21+1</f>
        <v>8</v>
      </c>
      <c r="B23" s="507" t="str">
        <f>"Average Balance for Year as Indicated in Column ((ln "&amp;A11&amp;" + ln "&amp;A21&amp;")/2)"</f>
        <v>Average Balance for Year as Indicated in Column ((ln 1 + ln 7)/2)</v>
      </c>
      <c r="C23" s="512">
        <f>AVERAGE(C21,C11)</f>
        <v>0</v>
      </c>
      <c r="D23" s="392"/>
    </row>
    <row r="24" spans="1:4">
      <c r="A24" s="506"/>
      <c r="B24" s="508"/>
      <c r="D24" s="392"/>
    </row>
    <row r="25" spans="1:4">
      <c r="A25" s="506"/>
      <c r="B25" s="508"/>
      <c r="C25" s="510"/>
      <c r="D25" s="392"/>
    </row>
    <row r="26" spans="1:4" ht="15">
      <c r="A26" s="513" t="s">
        <v>287</v>
      </c>
      <c r="B26" s="1520" t="str">
        <f>"On this worksheet Company Records refers to  "&amp;A6&amp;"'s general ledger."</f>
        <v>On this worksheet Company Records refers to  AEP Ohio Transmission Company's general ledger.</v>
      </c>
      <c r="C26" s="410"/>
      <c r="D26" s="392"/>
    </row>
    <row r="27" spans="1:4">
      <c r="A27" s="514"/>
      <c r="B27" s="1521"/>
      <c r="D27" s="392"/>
    </row>
    <row r="28" spans="1:4">
      <c r="D28" s="392"/>
    </row>
    <row r="29" spans="1:4">
      <c r="D29" s="392"/>
    </row>
    <row r="30" spans="1:4">
      <c r="D30" s="392"/>
    </row>
    <row r="31" spans="1:4">
      <c r="D31" s="392"/>
    </row>
    <row r="32" spans="1:4">
      <c r="D32" s="515"/>
    </row>
    <row r="33" spans="1:4">
      <c r="D33" s="392"/>
    </row>
    <row r="34" spans="1:4">
      <c r="D34" s="392"/>
    </row>
    <row r="35" spans="1:4">
      <c r="D35" s="392"/>
    </row>
    <row r="36" spans="1:4">
      <c r="A36" s="503"/>
      <c r="B36" s="392"/>
      <c r="C36" s="392"/>
      <c r="D36" s="392"/>
    </row>
    <row r="37" spans="1:4">
      <c r="A37" s="503"/>
      <c r="B37" s="392"/>
      <c r="C37" s="392"/>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Y6NTA6MDA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DFCFC39C-F03F-4B61-9139-2623BCFAE720}">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62F7CCB-3BE1-4906-B631-C5895FA04D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B-3-A - 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K TRUE-UP RTEP RR</vt:lpstr>
      <vt:lpstr>WS J PROJECTED RTEP RR</vt:lpstr>
      <vt:lpstr>WS L RESERVED</vt:lpstr>
      <vt:lpstr>WS M - Cost of Capital</vt:lpstr>
      <vt:lpstr>WS N - Sale of Plant Held</vt:lpstr>
      <vt:lpstr>Worksheet O</vt:lpstr>
      <vt:lpstr>WS P Dep. Rates</vt:lpstr>
      <vt:lpstr>WS Q Cap Structure</vt:lpstr>
      <vt:lpstr>WS R Interest</vt:lpstr>
      <vt:lpstr>WS R Interest (2)</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2024-05-24T14:57:17Z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bdbae3b1-ecb4-4a18-b036-253f08e91ce9</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{DFCFC39C-F03F-4B61-9139-2623BCFAE720}</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